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rvip.ad.in.ac-rennes.fr\avan-sante\Mes_Documents\0-Rennes\000-DAN\000-PLAN NUMERIQUE POUR LEDUCATION\EVALUATION DES USAGES NUMERIQUES\OPINEE\"/>
    </mc:Choice>
  </mc:AlternateContent>
  <bookViews>
    <workbookView xWindow="240" yWindow="225" windowWidth="14805" windowHeight="7680" tabRatio="674" activeTab="1"/>
  </bookViews>
  <sheets>
    <sheet name="Présentation" sheetId="10" r:id="rId1"/>
    <sheet name="Données brutes" sheetId="1" r:id="rId2"/>
    <sheet name="équipements" sheetId="2" r:id="rId3"/>
    <sheet name="infrastructures" sheetId="3" r:id="rId4"/>
    <sheet name="services" sheetId="4" r:id="rId5"/>
    <sheet name="pilotage" sheetId="5" r:id="rId6"/>
    <sheet name="formation" sheetId="6" r:id="rId7"/>
    <sheet name="utilisations" sheetId="7" r:id="rId8"/>
    <sheet name="usages" sheetId="8" r:id="rId9"/>
    <sheet name="Résumé" sheetId="9" r:id="rId10"/>
    <sheet name="RADAR" sheetId="11" r:id="rId11"/>
  </sheets>
  <calcPr calcId="162913"/>
</workbook>
</file>

<file path=xl/calcChain.xml><?xml version="1.0" encoding="utf-8"?>
<calcChain xmlns="http://schemas.openxmlformats.org/spreadsheetml/2006/main">
  <c r="B6" i="2" l="1"/>
  <c r="B5" i="2"/>
  <c r="B14" i="9" l="1"/>
  <c r="A14" i="9"/>
  <c r="I102" i="1" l="1"/>
  <c r="I91" i="1"/>
  <c r="I78" i="1"/>
  <c r="I57" i="1"/>
  <c r="I42" i="1"/>
  <c r="I27" i="1"/>
  <c r="I8" i="1"/>
  <c r="I1" i="1"/>
  <c r="G69" i="1"/>
  <c r="H69" i="1" s="1"/>
  <c r="G70" i="1"/>
  <c r="H70" i="1" s="1"/>
  <c r="G71" i="1"/>
  <c r="H71" i="1" s="1"/>
  <c r="G72" i="1"/>
  <c r="H72" i="1" s="1"/>
  <c r="G73" i="1"/>
  <c r="H73" i="1" s="1"/>
  <c r="G68" i="1"/>
  <c r="H68" i="1" s="1"/>
  <c r="G45" i="1"/>
  <c r="H45" i="1" s="1"/>
  <c r="G44" i="1"/>
  <c r="H44" i="1" s="1"/>
  <c r="G34" i="1"/>
  <c r="H34" i="1" s="1"/>
  <c r="G35" i="1"/>
  <c r="H35" i="1" s="1"/>
  <c r="G36" i="1"/>
  <c r="H36" i="1" s="1"/>
  <c r="G33" i="1"/>
  <c r="H33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17" i="1"/>
  <c r="H17" i="1" s="1"/>
  <c r="G3" i="1"/>
  <c r="H3" i="1" s="1"/>
  <c r="G4" i="1"/>
  <c r="H4" i="1" s="1"/>
  <c r="G5" i="1"/>
  <c r="H5" i="1" s="1"/>
  <c r="G6" i="1"/>
  <c r="H6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24" i="1"/>
  <c r="H24" i="1" s="1"/>
  <c r="G25" i="1"/>
  <c r="H25" i="1" s="1"/>
  <c r="G28" i="1"/>
  <c r="H28" i="1" s="1"/>
  <c r="G29" i="1"/>
  <c r="H29" i="1" s="1"/>
  <c r="G30" i="1"/>
  <c r="H30" i="1" s="1"/>
  <c r="G31" i="1"/>
  <c r="H31" i="1" s="1"/>
  <c r="G32" i="1"/>
  <c r="H32" i="1" s="1"/>
  <c r="G37" i="1"/>
  <c r="H37" i="1" s="1"/>
  <c r="G38" i="1"/>
  <c r="H38" i="1" s="1"/>
  <c r="G39" i="1"/>
  <c r="H39" i="1" s="1"/>
  <c r="G40" i="1"/>
  <c r="H40" i="1" s="1"/>
  <c r="G43" i="1"/>
  <c r="H43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74" i="1"/>
  <c r="H74" i="1" s="1"/>
  <c r="G75" i="1"/>
  <c r="H75" i="1" s="1"/>
  <c r="G76" i="1"/>
  <c r="H76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2" i="1"/>
  <c r="H2" i="1" s="1"/>
  <c r="B23" i="5"/>
  <c r="C23" i="5" s="1"/>
  <c r="E23" i="5" s="1"/>
  <c r="F23" i="5"/>
  <c r="G21" i="2"/>
  <c r="F15" i="6"/>
  <c r="B15" i="6"/>
  <c r="C15" i="6" s="1"/>
  <c r="H27" i="1" l="1"/>
  <c r="G27" i="1" s="1"/>
  <c r="H91" i="1"/>
  <c r="G91" i="1" s="1"/>
  <c r="H42" i="1"/>
  <c r="G42" i="1" s="1"/>
  <c r="H78" i="1"/>
  <c r="G78" i="1" s="1"/>
  <c r="H102" i="1"/>
  <c r="G102" i="1" s="1"/>
  <c r="H57" i="1"/>
  <c r="G57" i="1" s="1"/>
  <c r="H8" i="1"/>
  <c r="G8" i="1" s="1"/>
  <c r="H1" i="1"/>
  <c r="G1" i="1" s="1"/>
  <c r="B6" i="8"/>
  <c r="C6" i="8" s="1"/>
  <c r="E6" i="8" s="1"/>
  <c r="B7" i="8"/>
  <c r="C7" i="8" s="1"/>
  <c r="E7" i="8" s="1"/>
  <c r="B8" i="8"/>
  <c r="C8" i="8" s="1"/>
  <c r="E8" i="8" s="1"/>
  <c r="B9" i="8"/>
  <c r="C9" i="8" s="1"/>
  <c r="E9" i="8" s="1"/>
  <c r="B10" i="8"/>
  <c r="C10" i="8" s="1"/>
  <c r="E10" i="8" s="1"/>
  <c r="B11" i="8"/>
  <c r="C11" i="8" s="1"/>
  <c r="E11" i="8" s="1"/>
  <c r="B12" i="8"/>
  <c r="F12" i="8" s="1"/>
  <c r="B13" i="8"/>
  <c r="C13" i="8" s="1"/>
  <c r="E13" i="8" s="1"/>
  <c r="B14" i="8"/>
  <c r="C14" i="8" s="1"/>
  <c r="E14" i="8" s="1"/>
  <c r="B15" i="8"/>
  <c r="C15" i="8" s="1"/>
  <c r="E15" i="8" s="1"/>
  <c r="B16" i="8"/>
  <c r="C16" i="8" s="1"/>
  <c r="E16" i="8" s="1"/>
  <c r="B17" i="8"/>
  <c r="C17" i="8" s="1"/>
  <c r="E17" i="8" s="1"/>
  <c r="B18" i="8"/>
  <c r="C18" i="8" s="1"/>
  <c r="E18" i="8" s="1"/>
  <c r="B19" i="8"/>
  <c r="C19" i="8" s="1"/>
  <c r="E19" i="8" s="1"/>
  <c r="B20" i="8"/>
  <c r="C20" i="8" s="1"/>
  <c r="E20" i="8" s="1"/>
  <c r="B21" i="8"/>
  <c r="C21" i="8" s="1"/>
  <c r="E21" i="8" s="1"/>
  <c r="B22" i="8"/>
  <c r="C22" i="8" s="1"/>
  <c r="E22" i="8" s="1"/>
  <c r="B5" i="8"/>
  <c r="C5" i="8" s="1"/>
  <c r="E5" i="8" s="1"/>
  <c r="B6" i="7"/>
  <c r="C6" i="7" s="1"/>
  <c r="E6" i="7" s="1"/>
  <c r="B7" i="7"/>
  <c r="C7" i="7" s="1"/>
  <c r="E7" i="7" s="1"/>
  <c r="B8" i="7"/>
  <c r="C8" i="7" s="1"/>
  <c r="E8" i="7" s="1"/>
  <c r="B9" i="7"/>
  <c r="C9" i="7" s="1"/>
  <c r="E9" i="7" s="1"/>
  <c r="B10" i="7"/>
  <c r="C10" i="7" s="1"/>
  <c r="E10" i="7" s="1"/>
  <c r="B11" i="7"/>
  <c r="C11" i="7" s="1"/>
  <c r="E11" i="7" s="1"/>
  <c r="B12" i="7"/>
  <c r="C12" i="7" s="1"/>
  <c r="E12" i="7" s="1"/>
  <c r="B13" i="7"/>
  <c r="C13" i="7" s="1"/>
  <c r="E13" i="7" s="1"/>
  <c r="B5" i="7"/>
  <c r="C5" i="7" s="1"/>
  <c r="E5" i="7" s="1"/>
  <c r="C20" i="5"/>
  <c r="C19" i="5"/>
  <c r="C18" i="5"/>
  <c r="C17" i="5"/>
  <c r="C16" i="5"/>
  <c r="C15" i="5"/>
  <c r="B6" i="6"/>
  <c r="C6" i="6" s="1"/>
  <c r="E6" i="6" s="1"/>
  <c r="B7" i="6"/>
  <c r="C7" i="6" s="1"/>
  <c r="E7" i="6" s="1"/>
  <c r="B8" i="6"/>
  <c r="C8" i="6" s="1"/>
  <c r="E8" i="6" s="1"/>
  <c r="B9" i="6"/>
  <c r="C9" i="6" s="1"/>
  <c r="E9" i="6" s="1"/>
  <c r="B10" i="6"/>
  <c r="C10" i="6" s="1"/>
  <c r="E10" i="6" s="1"/>
  <c r="B11" i="6"/>
  <c r="C11" i="6" s="1"/>
  <c r="E11" i="6" s="1"/>
  <c r="B12" i="6"/>
  <c r="C12" i="6" s="1"/>
  <c r="E12" i="6" s="1"/>
  <c r="B13" i="6"/>
  <c r="B14" i="6"/>
  <c r="B5" i="6"/>
  <c r="C5" i="6" s="1"/>
  <c r="E5" i="6" s="1"/>
  <c r="F18" i="5"/>
  <c r="F15" i="5"/>
  <c r="B16" i="5"/>
  <c r="B17" i="5"/>
  <c r="B18" i="5"/>
  <c r="B19" i="5"/>
  <c r="B20" i="5"/>
  <c r="B15" i="5"/>
  <c r="B22" i="5"/>
  <c r="B21" i="5"/>
  <c r="B6" i="5"/>
  <c r="C6" i="5" s="1"/>
  <c r="B7" i="5"/>
  <c r="C7" i="5" s="1"/>
  <c r="B8" i="5"/>
  <c r="B9" i="5"/>
  <c r="C9" i="5" s="1"/>
  <c r="B10" i="5"/>
  <c r="C10" i="5" s="1"/>
  <c r="B11" i="5"/>
  <c r="C11" i="5" s="1"/>
  <c r="B12" i="5"/>
  <c r="B13" i="5"/>
  <c r="C13" i="5" s="1"/>
  <c r="B14" i="5"/>
  <c r="C14" i="5" s="1"/>
  <c r="B5" i="5"/>
  <c r="C5" i="5" s="1"/>
  <c r="B9" i="4"/>
  <c r="B10" i="4"/>
  <c r="C10" i="4" s="1"/>
  <c r="E10" i="4" s="1"/>
  <c r="B11" i="4"/>
  <c r="C11" i="4" s="1"/>
  <c r="B12" i="4"/>
  <c r="B13" i="4"/>
  <c r="B14" i="4"/>
  <c r="C14" i="4" s="1"/>
  <c r="E14" i="4" s="1"/>
  <c r="B15" i="4"/>
  <c r="C15" i="4" s="1"/>
  <c r="E15" i="4" s="1"/>
  <c r="B16" i="4"/>
  <c r="B17" i="4"/>
  <c r="C17" i="4" s="1"/>
  <c r="B8" i="4"/>
  <c r="C8" i="4" s="1"/>
  <c r="B7" i="4"/>
  <c r="B6" i="4"/>
  <c r="F5" i="4"/>
  <c r="B5" i="4"/>
  <c r="C6" i="4" s="1"/>
  <c r="C14" i="3"/>
  <c r="D14" i="3" s="1"/>
  <c r="G10" i="3"/>
  <c r="C11" i="3"/>
  <c r="D11" i="3" s="1"/>
  <c r="C12" i="3"/>
  <c r="D12" i="3" s="1"/>
  <c r="C13" i="3"/>
  <c r="D13" i="3" s="1"/>
  <c r="C10" i="3"/>
  <c r="D10" i="3" s="1"/>
  <c r="C16" i="3"/>
  <c r="D16" i="3" s="1"/>
  <c r="C17" i="3"/>
  <c r="C7" i="3"/>
  <c r="D7" i="3" s="1"/>
  <c r="F7" i="3" s="1"/>
  <c r="C8" i="3"/>
  <c r="D8" i="3" s="1"/>
  <c r="C9" i="3"/>
  <c r="D9" i="3" s="1"/>
  <c r="F9" i="3" s="1"/>
  <c r="C6" i="3"/>
  <c r="B15" i="3"/>
  <c r="C15" i="3" s="1"/>
  <c r="B5" i="3"/>
  <c r="D5" i="3" s="1"/>
  <c r="F5" i="3" s="1"/>
  <c r="G13" i="2"/>
  <c r="F6" i="8"/>
  <c r="F7" i="8"/>
  <c r="F8" i="8"/>
  <c r="F9" i="8"/>
  <c r="F10" i="8"/>
  <c r="F11" i="8"/>
  <c r="F13" i="8"/>
  <c r="F14" i="8"/>
  <c r="F15" i="8"/>
  <c r="F16" i="8"/>
  <c r="F17" i="8"/>
  <c r="F18" i="8"/>
  <c r="F19" i="8"/>
  <c r="F20" i="8"/>
  <c r="F21" i="8"/>
  <c r="F22" i="8"/>
  <c r="F5" i="8"/>
  <c r="F6" i="7"/>
  <c r="F7" i="7"/>
  <c r="F8" i="7"/>
  <c r="F9" i="7"/>
  <c r="F10" i="7"/>
  <c r="F11" i="7"/>
  <c r="F12" i="7"/>
  <c r="F13" i="7"/>
  <c r="F5" i="7"/>
  <c r="F6" i="6"/>
  <c r="F7" i="6"/>
  <c r="F8" i="6"/>
  <c r="F9" i="6"/>
  <c r="F10" i="6"/>
  <c r="F11" i="6"/>
  <c r="F12" i="6"/>
  <c r="F13" i="6"/>
  <c r="F14" i="6"/>
  <c r="F5" i="6"/>
  <c r="F6" i="5"/>
  <c r="F7" i="5"/>
  <c r="F8" i="5"/>
  <c r="F9" i="5"/>
  <c r="F10" i="5"/>
  <c r="F11" i="5"/>
  <c r="F12" i="5"/>
  <c r="F13" i="5"/>
  <c r="F14" i="5"/>
  <c r="F21" i="5"/>
  <c r="F22" i="5"/>
  <c r="F5" i="5"/>
  <c r="C25" i="5" s="1"/>
  <c r="F8" i="4"/>
  <c r="F9" i="4"/>
  <c r="F10" i="4"/>
  <c r="F11" i="4"/>
  <c r="F12" i="4"/>
  <c r="F13" i="4"/>
  <c r="F14" i="4"/>
  <c r="F15" i="4"/>
  <c r="F16" i="4"/>
  <c r="F17" i="4"/>
  <c r="G15" i="3"/>
  <c r="G16" i="3"/>
  <c r="G17" i="3"/>
  <c r="G14" i="3"/>
  <c r="G6" i="3"/>
  <c r="G7" i="3"/>
  <c r="G8" i="3"/>
  <c r="G9" i="3"/>
  <c r="G5" i="3"/>
  <c r="C11" i="2"/>
  <c r="G20" i="2"/>
  <c r="G6" i="2"/>
  <c r="G7" i="2"/>
  <c r="G8" i="2"/>
  <c r="G9" i="2"/>
  <c r="G10" i="2"/>
  <c r="G11" i="2"/>
  <c r="G12" i="2"/>
  <c r="G5" i="2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13" i="2"/>
  <c r="D13" i="2" s="1"/>
  <c r="C21" i="2"/>
  <c r="C20" i="2"/>
  <c r="D20" i="2" s="1"/>
  <c r="B10" i="2"/>
  <c r="C10" i="2" s="1"/>
  <c r="B9" i="2"/>
  <c r="C9" i="2" s="1"/>
  <c r="B8" i="2"/>
  <c r="D8" i="2" s="1"/>
  <c r="B7" i="2"/>
  <c r="D7" i="2" s="1"/>
  <c r="F7" i="2" s="1"/>
  <c r="C6" i="2"/>
  <c r="D5" i="2"/>
  <c r="C12" i="2"/>
  <c r="D12" i="2" s="1"/>
  <c r="C18" i="6" l="1"/>
  <c r="E15" i="6"/>
  <c r="C14" i="6"/>
  <c r="E14" i="6"/>
  <c r="B18" i="6" s="1"/>
  <c r="C16" i="7"/>
  <c r="C26" i="8"/>
  <c r="C20" i="4"/>
  <c r="C9" i="4"/>
  <c r="E9" i="4" s="1"/>
  <c r="D24" i="2"/>
  <c r="F8" i="2"/>
  <c r="C8" i="2"/>
  <c r="C21" i="5"/>
  <c r="E21" i="5" s="1"/>
  <c r="C22" i="5"/>
  <c r="E22" i="5" s="1"/>
  <c r="E5" i="5"/>
  <c r="E14" i="5"/>
  <c r="E6" i="5"/>
  <c r="C8" i="5"/>
  <c r="E8" i="5" s="1"/>
  <c r="C12" i="5"/>
  <c r="E12" i="5" s="1"/>
  <c r="C16" i="4"/>
  <c r="E16" i="4" s="1"/>
  <c r="C12" i="4"/>
  <c r="E12" i="4" s="1"/>
  <c r="C13" i="4"/>
  <c r="E13" i="4" s="1"/>
  <c r="D17" i="3"/>
  <c r="F17" i="3" s="1"/>
  <c r="F16" i="3"/>
  <c r="D6" i="3"/>
  <c r="F6" i="3" s="1"/>
  <c r="F12" i="2"/>
  <c r="D15" i="3"/>
  <c r="F15" i="3" s="1"/>
  <c r="C7" i="4"/>
  <c r="E5" i="4" s="1"/>
  <c r="C12" i="8"/>
  <c r="E12" i="8" s="1"/>
  <c r="B26" i="8" s="1"/>
  <c r="D1" i="8" s="1"/>
  <c r="C13" i="6"/>
  <c r="E13" i="6" s="1"/>
  <c r="E13" i="5"/>
  <c r="E11" i="5"/>
  <c r="E10" i="5"/>
  <c r="E9" i="5"/>
  <c r="E7" i="5"/>
  <c r="E17" i="4"/>
  <c r="E11" i="4"/>
  <c r="F14" i="3"/>
  <c r="F8" i="3"/>
  <c r="F10" i="3"/>
  <c r="C5" i="3"/>
  <c r="F5" i="2"/>
  <c r="D21" i="2"/>
  <c r="F21" i="2" s="1"/>
  <c r="F20" i="2"/>
  <c r="D11" i="2"/>
  <c r="F11" i="2" s="1"/>
  <c r="E18" i="5"/>
  <c r="E15" i="5"/>
  <c r="E8" i="4"/>
  <c r="D20" i="3"/>
  <c r="D6" i="2"/>
  <c r="F6" i="2" s="1"/>
  <c r="C7" i="2"/>
  <c r="C5" i="2"/>
  <c r="D9" i="2"/>
  <c r="F9" i="2" s="1"/>
  <c r="D10" i="2"/>
  <c r="F10" i="2" s="1"/>
  <c r="F13" i="2"/>
  <c r="A1" i="9"/>
  <c r="B16" i="7"/>
  <c r="D1" i="7" s="1"/>
  <c r="B25" i="5" l="1"/>
  <c r="B20" i="6"/>
  <c r="C9" i="9" s="1"/>
  <c r="D1" i="6"/>
  <c r="B18" i="7"/>
  <c r="C10" i="9" s="1"/>
  <c r="B28" i="8"/>
  <c r="C11" i="9" s="1"/>
  <c r="C20" i="3"/>
  <c r="B20" i="4"/>
  <c r="D1" i="4" s="1"/>
  <c r="C24" i="2"/>
  <c r="D1" i="2" s="1"/>
  <c r="I14" i="9" l="1"/>
  <c r="D2" i="8"/>
  <c r="H14" i="9"/>
  <c r="D2" i="7"/>
  <c r="D1" i="5"/>
  <c r="B27" i="5"/>
  <c r="C8" i="9" s="1"/>
  <c r="G14" i="9"/>
  <c r="D2" i="6"/>
  <c r="C22" i="3"/>
  <c r="D1" i="3"/>
  <c r="C26" i="2"/>
  <c r="B22" i="4"/>
  <c r="C7" i="9" s="1"/>
  <c r="C14" i="9" l="1"/>
  <c r="C5" i="9"/>
  <c r="D14" i="9"/>
  <c r="C6" i="9"/>
  <c r="E14" i="9"/>
  <c r="D2" i="4"/>
  <c r="F14" i="9"/>
  <c r="D2" i="5"/>
  <c r="D2" i="3"/>
  <c r="D2" i="2"/>
</calcChain>
</file>

<file path=xl/sharedStrings.xml><?xml version="1.0" encoding="utf-8"?>
<sst xmlns="http://schemas.openxmlformats.org/spreadsheetml/2006/main" count="574" uniqueCount="331">
  <si>
    <t>Critères d'évaluation</t>
  </si>
  <si>
    <t>Modalité retenue</t>
  </si>
  <si>
    <t>Coefficient</t>
  </si>
  <si>
    <t>Nombre moyen d'élèves par terminal</t>
  </si>
  <si>
    <t>Nombre moyen d'élèves par terminal mobile</t>
  </si>
  <si>
    <t>Nombre moyen d'élèves par poste de travail en accès libre aux élèves en dehors des heures de cours</t>
  </si>
  <si>
    <t>Proportion de terminaux de moins de cinq ans</t>
  </si>
  <si>
    <t>Proportion de salles d'enseignement équipées d'un vidéo-projecteur</t>
  </si>
  <si>
    <t>Dotation des élèves en terminaux mobiles par la collectivité</t>
  </si>
  <si>
    <t>Dotation des enseignants en terminaux mobiles par la collectivité</t>
  </si>
  <si>
    <t>L'EPLE engage-t-il des moyens propres sur la maintenance quotidienne des équipements ?</t>
  </si>
  <si>
    <t>Maintenance des équipements par la collectivité</t>
  </si>
  <si>
    <t>Nombre de points du critère</t>
  </si>
  <si>
    <r>
      <rPr>
        <b/>
        <sz val="20"/>
        <color theme="1"/>
        <rFont val="Calibri"/>
        <family val="2"/>
      </rPr>
      <t>É</t>
    </r>
    <r>
      <rPr>
        <b/>
        <sz val="20"/>
        <color theme="1"/>
        <rFont val="Calibri"/>
        <family val="2"/>
        <scheme val="minor"/>
      </rPr>
      <t>quipements</t>
    </r>
  </si>
  <si>
    <t>Infrastructures</t>
  </si>
  <si>
    <t>Proportion de salles d'enseignements avec au moins un accès réseau</t>
  </si>
  <si>
    <t>Débit d'accès à Internet</t>
  </si>
  <si>
    <t>Débit du réseau interne</t>
  </si>
  <si>
    <t>Évaluation de la qualité du débit Internet par rapport aux besoins</t>
  </si>
  <si>
    <t>Évaluation de la qualité du débit du réseau interne par rapport aux besoins</t>
  </si>
  <si>
    <t>Réseau pédagogique</t>
  </si>
  <si>
    <t>Proportion des espaces (hors salle de classe) couverts par WiFi</t>
  </si>
  <si>
    <t>Proportion de salles d'enseignement couvertes par un réseau WiFi</t>
  </si>
  <si>
    <t>Possibilité pour les utilisateurs de recharger les équipements mobiles</t>
  </si>
  <si>
    <t>sur 10</t>
  </si>
  <si>
    <t>Palier du domaine "infrastructures" :</t>
  </si>
  <si>
    <t>Nombre total de points du domaine "infrastructures" :</t>
  </si>
  <si>
    <t>Nombre total de points du domaine "équipements" :</t>
  </si>
  <si>
    <t>Palier du domaine "équipements" :</t>
  </si>
  <si>
    <t>Services</t>
  </si>
  <si>
    <t>Nombre total de points du domaine "services" :</t>
  </si>
  <si>
    <t>Palier du domaine "services" :</t>
  </si>
  <si>
    <t>ENT</t>
  </si>
  <si>
    <t>Site web de l'établissement</t>
  </si>
  <si>
    <t>Notes, absences, emploi du temps</t>
  </si>
  <si>
    <t>Appel dématérialisé des élèves au début de l'heure de cours</t>
  </si>
  <si>
    <t>Messagerie interne</t>
  </si>
  <si>
    <t>LSUN - Livret Scolaire Unique Numérique
LPC - Livret Personnel de Compétences</t>
  </si>
  <si>
    <t>Service de réservation de ressources</t>
  </si>
  <si>
    <t>Abonnements à des services d'information et de documentation en ligne</t>
  </si>
  <si>
    <t>Folios</t>
  </si>
  <si>
    <t>Abonnements à des ressources numériques pédagogiques éditoriales</t>
  </si>
  <si>
    <t>Proportion de ressources numériques par rapport aux ressources papiers</t>
  </si>
  <si>
    <t>Pilotage</t>
  </si>
  <si>
    <t>Nombre total de points du domaine "pilotage" :</t>
  </si>
  <si>
    <t>Palier du domaine "pilotage" :</t>
  </si>
  <si>
    <t>Volet numérique au sein du projet d'établissement</t>
  </si>
  <si>
    <t>Charte d'usage du numérique</t>
  </si>
  <si>
    <t>Commissions numérique ou conseil pédagogique traitant des sujets numériques</t>
  </si>
  <si>
    <t>Personnel(s) référent(s) numérique(s) pour les usages pédagogiques du numérique</t>
  </si>
  <si>
    <t>Utilisation d'Indemnités de Mission Particulière (IMP) pour favoriser les usages du numérique</t>
  </si>
  <si>
    <t>Équipements numériques personnels des professeurs acceptés sur le réseau de l'établissement</t>
  </si>
  <si>
    <t>Équipements numériques personnels des élèves acceptés (pour des usages pédagogiques) sur le réseau de l'établissement</t>
  </si>
  <si>
    <t>Sécurité - Identifiants personnels d'accès au réseau</t>
  </si>
  <si>
    <t>Actions d'information et d'accompagnement des usagers au numérique</t>
  </si>
  <si>
    <t>Assistance aux usagers</t>
  </si>
  <si>
    <t>Suivi statistique des taux d'utilisation des équipements et des services</t>
  </si>
  <si>
    <t>Mise en place et suivi des "Services en Ligne"</t>
  </si>
  <si>
    <t>Formation</t>
  </si>
  <si>
    <t>Nombre total de points du domaine "formation" :</t>
  </si>
  <si>
    <t>Palier du domaine "formation" :</t>
  </si>
  <si>
    <t>Formation au numérique et/ou aux aspects juridiques du numérique d'un ou de plusieurs membres de l'équipe de direction (au cours des trois dernières années)</t>
  </si>
  <si>
    <t>Formation au numérique d'un ou plusieurs membres du personnel de vie scolaire (au cours des trois dernières années)</t>
  </si>
  <si>
    <t>Formation au numérique d'un ou de plusieurs membres du personnel administratif et/ou technique (au cours des trois dernières années)</t>
  </si>
  <si>
    <t>Formation de l'équipe enseignante aux usages pédagogiques du numérique sur site et par un formateur académique (au cours des trois dernières années)</t>
  </si>
  <si>
    <t>Proportion de professeurs ayant suivi une formation (PAF, M@gistère) aux usages pédagogiques du numérique (au cours des trois dernières années)</t>
  </si>
  <si>
    <t>Proportion d'enseignants mutualisant leurs pratiques du numérique et/ou collaborant via un ou des réseau(x) numériques)</t>
  </si>
  <si>
    <t>Identification dans l'établissement d'une personne chargée de la veille et de la curation du numérique à destination des enseignants</t>
  </si>
  <si>
    <t>Formation des parents aux usages des services numériques</t>
  </si>
  <si>
    <t>Utilisations</t>
  </si>
  <si>
    <t>Nombre total de points du domaine "utilisations" :</t>
  </si>
  <si>
    <t>Palier du domaine "utilisations" :</t>
  </si>
  <si>
    <t>Taux de réservation des salles informatiques</t>
  </si>
  <si>
    <t>Taux de réservation des classes mobiles</t>
  </si>
  <si>
    <t>Proportion d'enseignants utilisant régulièrement des VPI/TNI/TBI</t>
  </si>
  <si>
    <t>Proportion de professeurs remplissant le service de notes au moins mensuellement</t>
  </si>
  <si>
    <t>Proportion de professeurs remplissant le cahier de textes en ligne à l'issue de chaque cours</t>
  </si>
  <si>
    <t>Proportion de parents d'élèves consultant les services de vie scolaire au moins une fois par semaine</t>
  </si>
  <si>
    <t>Proportion d'élèves se connectant chaque jour au réseau interne</t>
  </si>
  <si>
    <t>Fréquentation du site public de l'établissement</t>
  </si>
  <si>
    <t>Équipements numériques utilisés régulièrement par des personnes extérieures à l'établissement</t>
  </si>
  <si>
    <t>Usages</t>
  </si>
  <si>
    <t>Pourcentage d'élèves hors classes de 3ème ayant une validation partielle du B2i Collège</t>
  </si>
  <si>
    <t>Proportion de professeurs impliqués dans la certification des compétences numériques des élèves (B2i)</t>
  </si>
  <si>
    <t>Nombre de disciplines impliquées dans la validation des compétences du B2i</t>
  </si>
  <si>
    <t>Nombre total de points du domaine "usages" :</t>
  </si>
  <si>
    <t>Palier du domaine "usages" :</t>
  </si>
  <si>
    <t>Proportion de professeurs développant des usages pédagogiques du numérique</t>
  </si>
  <si>
    <t>Proportion de manuels scolaires numériques dans l'EPLE</t>
  </si>
  <si>
    <t>Usages d'une messagerie institutionnelle (académique ou dans l'ENT) pour les échanges professionnels</t>
  </si>
  <si>
    <t>Usages de la messagerie de l'ENT pour les échanges des professeurs avec les familles (si ENT)</t>
  </si>
  <si>
    <t>Usages d'espaces de stockage ou de partage de documents pédagogiques</t>
  </si>
  <si>
    <t>Usages d'outils numériques pour des pratiques collaboratives entre ensiegnants</t>
  </si>
  <si>
    <t>Usages d'outils numériques pour des pratiques collaboratives des enseignants avec leurs élèves</t>
  </si>
  <si>
    <t>Usages connus de réseaux sociaux dans le cadre pédagogique</t>
  </si>
  <si>
    <t>Usages connus de services de publication de type blog pour l'enseignement</t>
  </si>
  <si>
    <t xml:space="preserve">Création de médias numériques (journal, radio, vidéo, exposition) - connue et validée par le chef d'établissement - </t>
  </si>
  <si>
    <t>Utilisation d'outils et de ressources numériques pour le développement de la pratique de l'oral (baladodiffusion, labo mutimédia, etc.)</t>
  </si>
  <si>
    <t>Usages du numérique à des fins de personnalisation des parcours et d'individualisation des enseignements</t>
  </si>
  <si>
    <t>Usages du numérique dans le cadre de la liaison inter-degré</t>
  </si>
  <si>
    <t>Échanges entre le chef d'établissement et les corps d'inspection pour le développement des usages du numérique</t>
  </si>
  <si>
    <t>Résumé :</t>
  </si>
  <si>
    <r>
      <rPr>
        <b/>
        <sz val="20"/>
        <color theme="1"/>
        <rFont val="Calibri"/>
        <family val="2"/>
      </rPr>
      <t>É</t>
    </r>
    <r>
      <rPr>
        <b/>
        <sz val="20"/>
        <color theme="1"/>
        <rFont val="Calibri"/>
        <family val="2"/>
        <scheme val="minor"/>
      </rPr>
      <t>quipements :</t>
    </r>
  </si>
  <si>
    <t>Infrastructures :</t>
  </si>
  <si>
    <t>Services :</t>
  </si>
  <si>
    <t>Pilotage :</t>
  </si>
  <si>
    <t>Formation :</t>
  </si>
  <si>
    <t>Utilisations :</t>
  </si>
  <si>
    <t>Usages :</t>
  </si>
  <si>
    <t>Équipements</t>
  </si>
  <si>
    <t>XXX</t>
  </si>
  <si>
    <t>0000000A</t>
  </si>
  <si>
    <t>Nom du collège :</t>
  </si>
  <si>
    <t>UAI du collège :</t>
  </si>
  <si>
    <t>Nombre d'élèves :</t>
  </si>
  <si>
    <t>Nombre d'enseignants :</t>
  </si>
  <si>
    <t>Nombre de terminaux (ordinateur fixe, ordinateur portable, tablette) :</t>
  </si>
  <si>
    <t>Nombre de terminaux mobiles (ordinateur portable, tablette, poste de classes mobiles) :</t>
  </si>
  <si>
    <t>Nombre de postes de travail en accès libre aux élèves en dehors des cours (hors classe) :</t>
  </si>
  <si>
    <t>Nombre de terminaux de moins de cinq ans :</t>
  </si>
  <si>
    <t>Nombre de salles d'enseignement :</t>
  </si>
  <si>
    <t>Nombre de VPI/TNI/TBI :</t>
  </si>
  <si>
    <t>Nombre de vidéo-projecteurs :</t>
  </si>
  <si>
    <t>Dotation des élèves en terminaux mobiles (ordinateur portable, tablette) par la collectivité :</t>
  </si>
  <si>
    <t>Dotation des enseignants en terminaux mobiles (ordinateur portable, tablette) par la collectivité :</t>
  </si>
  <si>
    <t>Équipements particuliers :</t>
  </si>
  <si>
    <t>Malette MP3/MP4</t>
  </si>
  <si>
    <t>Imprimante 3D</t>
  </si>
  <si>
    <t>FabLab</t>
  </si>
  <si>
    <t>Visioconférence</t>
  </si>
  <si>
    <t>Labo Multimédia</t>
  </si>
  <si>
    <t>Boîtiers de vote</t>
  </si>
  <si>
    <t>Maintenance des équipements (maintien en condition opérationnelle) par la collectivité :</t>
  </si>
  <si>
    <t>Nombre de salles avec au moins un accès réseau :</t>
  </si>
  <si>
    <t>Débit d'accès à internet :</t>
  </si>
  <si>
    <t>Débit du réseau interne :</t>
  </si>
  <si>
    <t>Évaluation de la qualité du débit internet par rapport aux besoins :</t>
  </si>
  <si>
    <t>Évaluation de la qualité du débit du réseau interne par rapport aux besoins :</t>
  </si>
  <si>
    <t>Réseau pédagogique :</t>
  </si>
  <si>
    <t>Pare-feu</t>
  </si>
  <si>
    <t>Antivirus</t>
  </si>
  <si>
    <t>Filtrage</t>
  </si>
  <si>
    <t>Contrôle a posteriori des accès</t>
  </si>
  <si>
    <t>Proportion des espaces (hors salle de classe) couverts par WiFi :</t>
  </si>
  <si>
    <t>Nombre de salles d'enseignement couvertes par un réseau WiFi</t>
  </si>
  <si>
    <t>Évaluation de la couverture du réseau WiFi par rapport aux besoins :</t>
  </si>
  <si>
    <t>Possibilité pour les utilisateurs de recharger les équipements mobiles :</t>
  </si>
  <si>
    <t>Si oui :</t>
  </si>
  <si>
    <t>Déploiement à tous les utilisateurs :</t>
  </si>
  <si>
    <t>Déploiement de tous les services :</t>
  </si>
  <si>
    <t>Appel dématérialisé des élèves au début de l'heure de cours :</t>
  </si>
  <si>
    <t>Messagerie interne :</t>
  </si>
  <si>
    <t>Service de réservation de ressources :</t>
  </si>
  <si>
    <t>ENT - Espace Numérique de Travail - issu d'un projet académique et/ou des collectivités associées :</t>
  </si>
  <si>
    <t>Site web de l'établissement :</t>
  </si>
  <si>
    <t>Notes, absences, emploi du temps :</t>
  </si>
  <si>
    <t>LSUN - Livret Scolaire Unique Numérique :
LPC - Livret Personnel de Compétences :</t>
  </si>
  <si>
    <t>Folios :</t>
  </si>
  <si>
    <t>Abonnements à des services d'information et de documentation en ligne :</t>
  </si>
  <si>
    <t>Abonnements à des ressources numériques pédagogiques éditoriales :</t>
  </si>
  <si>
    <t>Proportion de ressources numériques / ressources papiers :</t>
  </si>
  <si>
    <t>Volet numérique au sein du projet d'établissement :</t>
  </si>
  <si>
    <t>Charte d'usage du numérique :</t>
  </si>
  <si>
    <t>Commission numérique ou conseil pédagogique traitant des sujets numériques :</t>
  </si>
  <si>
    <t>Personnel(s) référent(s) numérique(s) pour les usages pédagogiques du numérique :</t>
  </si>
  <si>
    <t>Utilisation d'indemnités de mission particulière (IMP) pour favoriser les usages du numérique :</t>
  </si>
  <si>
    <t>Équipements numériques personnels des enseignants acceptés sur le réseau de l'établissement :</t>
  </si>
  <si>
    <t>Équipements numériques personnels des élèves (pour des usages pédagogiques) acceptés sur le réseau de l'établissement :</t>
  </si>
  <si>
    <t>Sécurité - Identifiants personnels d'accès au réseau :</t>
  </si>
  <si>
    <t>Actions d'information et d'accompagnement des usagers au numérique :</t>
  </si>
  <si>
    <t>Assistance aux usagers :</t>
  </si>
  <si>
    <t>Avec les moyens de l'établissement (personnel référent)</t>
  </si>
  <si>
    <t>Par les services académiques</t>
  </si>
  <si>
    <t>Par la collectivité</t>
  </si>
  <si>
    <t>Suivi statistique des taux d'utilisation des équipements et des services :</t>
  </si>
  <si>
    <t>Mise en place et suivi des "Services en Ligne" :</t>
  </si>
  <si>
    <t>Formation au numérique et/ou aux aspects juridiques du numérique d'un ou de plusieurs membres de l'équipe de direction (au cours des trois dernières années) :</t>
  </si>
  <si>
    <t>Formation au numérique d'un ou de plusieurs membres du personnel de vie scolaire (au cours des trois dernières années) :</t>
  </si>
  <si>
    <t>Formation de l'équipe enseignante aux usages pédagogiques du numérique sur site et par un formateur académique (au cours des trois dernières années) :</t>
  </si>
  <si>
    <t>Animations ponctuelles autour des usages du numérique par un référent numérique (personne ressource) dans l'établissement (au cours des trois dernières années) :</t>
  </si>
  <si>
    <t>Proportion de professeurs ayant suivi une formation (PAF, M@gistère) aux usages pédagogiques du numérique (au cours des trois dernières années) :</t>
  </si>
  <si>
    <t>Actions d'information et de sensibilisation aux usages responsables du numérique et à l'éducation aux médias et à l'information (EMI) à destination des enseignants (au cours des trois derrnières années) :</t>
  </si>
  <si>
    <t>Proportion d'enseignants mutualisant leurs pratiques du numérique et/ou collaborant via un ou des réseau(x) numérique(s) :</t>
  </si>
  <si>
    <t>Identification dans l'établissement d'une personne chargée de la veille et de la curation du numérique à destination des enserignants :</t>
  </si>
  <si>
    <t>Formation des parents aux usages des services numériques (au cours des trois dernières années) :</t>
  </si>
  <si>
    <t>Taux de réservation des salles informatiques :</t>
  </si>
  <si>
    <t>Taux de réservation des classes mobiles :</t>
  </si>
  <si>
    <t>Porportion d'enseignants utilisant régulièrement des VPI/TNI/TBI :</t>
  </si>
  <si>
    <t>Proportion de professeurs remplissant le service de notes au moins mensuellement :</t>
  </si>
  <si>
    <t>Proportion de professeurs remplissant le cahier de textes en ligne à l'issue de chaque cours :</t>
  </si>
  <si>
    <t>Proportion de parents d'élèves consultant les services de vie scolaire au moins une fois par semaine :</t>
  </si>
  <si>
    <t>Proportion d'élèves se connectant chaque jour au réseau interne de l'établissement :</t>
  </si>
  <si>
    <t>Fréquentation du site public de l'établissement :</t>
  </si>
  <si>
    <t>Équipements numériques utilisés régulièrement par des personnes exterieures à l'établissement :</t>
  </si>
  <si>
    <t>Pourcentage d'élèves hors classe de 3ème ayant une validation partielle du B2i Collège :</t>
  </si>
  <si>
    <t>Proportion de professeurs impliqués dans la certification des compétences numériques des élèves (B2i) :</t>
  </si>
  <si>
    <t>Nombre de disciplines impliquées dans la validation des compétences du B2i :</t>
  </si>
  <si>
    <t>Proportion de professeurs développant des usages pédagogiques du numérique :</t>
  </si>
  <si>
    <t>Propotion de manuels scolaires numériques dans l'EPLE :</t>
  </si>
  <si>
    <t>Usages d'une messagerie institutionnelle (académique ou dans l'ENT) pour les échanges professionnels :</t>
  </si>
  <si>
    <t>Usages de la messagerie de l'ENT pour les échanges des professeurs avec les familles :</t>
  </si>
  <si>
    <t>Usages d'espaces de stockage ou de partage de documents pédagogiques :</t>
  </si>
  <si>
    <t>Usages d'outils numériques pour des pratiques collaboratives entre enseignants :</t>
  </si>
  <si>
    <t>Usages d'outils numériques pour des pratiques collaboratives des enseignants avec leurs élèves :</t>
  </si>
  <si>
    <t>Usages connus de réseaux sociaux dans le cadre pédagogique :</t>
  </si>
  <si>
    <t>Usages connus de services de publication de type blog pour l'enseignement :</t>
  </si>
  <si>
    <t>Création de médias numériques (journal, radio, vidéo, exposition numérique) - connue et validée par le chef d'établissement :</t>
  </si>
  <si>
    <t>Utilisation d'outils et de ressources numériques pour le développement de la pratique de l'oral (baladodiffusion, labo multimédia, etc.) :</t>
  </si>
  <si>
    <t>Usages du numérique à des fins de personnalisation des parcours et d'individualisation des enseignements :</t>
  </si>
  <si>
    <t>Usages du numérique dans le cadre de la liaison inter-degré :</t>
  </si>
  <si>
    <t>Échanges entre le chef d'établissement et les corps d'inspection pour le développement des usages du numérique :</t>
  </si>
  <si>
    <t>Proportion de salles d'enseignement équipées d'un VPI/TNI/TBI</t>
  </si>
  <si>
    <t>Quelques enseignants</t>
  </si>
  <si>
    <t>Plusieurs classes</t>
  </si>
  <si>
    <t>Nombre de points associés à la modalité</t>
  </si>
  <si>
    <t>Aucune</t>
  </si>
  <si>
    <t>Non</t>
  </si>
  <si>
    <t>Oui</t>
  </si>
  <si>
    <t>Oui, insuffisamment</t>
  </si>
  <si>
    <t>Tous les enseignants</t>
  </si>
  <si>
    <t>Quelques élèves</t>
  </si>
  <si>
    <t>Une classe</t>
  </si>
  <si>
    <t>Toutes les classes</t>
  </si>
  <si>
    <t>+</t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</si>
  <si>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quipements particuliers</t>
    </r>
  </si>
  <si>
    <t>Maximum possible</t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</si>
  <si>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valuation de la couverture du réseau WiFi par rapport aux besoins</t>
    </r>
  </si>
  <si>
    <t>Moins de 2 Mbit/s</t>
  </si>
  <si>
    <t>Strictement plus de 2 et moins de 10 Mbit/s</t>
  </si>
  <si>
    <t>Strictement plus de 20 Mbit/s</t>
  </si>
  <si>
    <t>Moins de 100 Mbit/s</t>
  </si>
  <si>
    <t>Strictement plus de 100 et moins de 1000 Mbit/s</t>
  </si>
  <si>
    <t>Strictement plus de 1000 Mbit/s</t>
  </si>
  <si>
    <t>Insuffisante</t>
  </si>
  <si>
    <t>Inconnue</t>
  </si>
  <si>
    <t>Aucun</t>
  </si>
  <si>
    <t>Suffisante</t>
  </si>
  <si>
    <t>Strictement moins d'un quart</t>
  </si>
  <si>
    <t>Entre un quart et la moitié</t>
  </si>
  <si>
    <t>Plus de la moitié</t>
  </si>
  <si>
    <t>Strictement plus de la moitié</t>
  </si>
  <si>
    <t>Oui, partiellement</t>
  </si>
  <si>
    <t>Oui, suffisamment et en libre accès</t>
  </si>
  <si>
    <t>Valeur de l'indicateur</t>
  </si>
  <si>
    <t>Pas de messagerie interne</t>
  </si>
  <si>
    <t>Réservé à l'équipe pédagogique et de direction</t>
  </si>
  <si>
    <t>Strictement moins de 10% des ressources sont numériques</t>
  </si>
  <si>
    <t xml:space="preserve">Intégré à l’ENT (pages publiques réalisées dans l’ENT) </t>
  </si>
  <si>
    <t>Hébergé à l'extérieur (hors ENT) chez un hébergeur privé</t>
  </si>
  <si>
    <t>Hébergé dans l'établissement ou sur des serveurs académiques</t>
  </si>
  <si>
    <t>Services fournis par le MENESR</t>
  </si>
  <si>
    <t>Intégrés à l'ENT</t>
  </si>
  <si>
    <t>Intégrée dans le réseau pédagogique local ou via des outils dédiés</t>
  </si>
  <si>
    <t>Intégrée à l'ENT</t>
  </si>
  <si>
    <t>Ouvert à la communauté éducative</t>
  </si>
  <si>
    <t>Plus de 25% et strictement moins de 50% des ressources sont numériques</t>
  </si>
  <si>
    <t>Plus de 10% et strictement moins de 25% des ressources sont numériques</t>
  </si>
  <si>
    <t>50% ou plus des ressources sont numériques</t>
  </si>
  <si>
    <t>Oui, signée par une partie des usagers</t>
  </si>
  <si>
    <t>Oui, signée par tous les usagers</t>
  </si>
  <si>
    <t>Réunion annuelle</t>
  </si>
  <si>
    <t>Réunion pluriannuelle</t>
  </si>
  <si>
    <t>Oui, entre autres missions "numériques"</t>
  </si>
  <si>
    <t>Oui, uniquement</t>
  </si>
  <si>
    <t>En projet</t>
  </si>
  <si>
    <t>Partiellement mise en place</t>
  </si>
  <si>
    <t>Totalement mise en place</t>
  </si>
  <si>
    <t>Ordinateurs portables et tablettes</t>
  </si>
  <si>
    <t>Oui, suivi global</t>
  </si>
  <si>
    <t>Oui, suivi fin</t>
  </si>
  <si>
    <t>-</t>
  </si>
  <si>
    <t>Aucun ou presque</t>
  </si>
  <si>
    <t>Inconnu</t>
  </si>
  <si>
    <t>Pas de site public de l'EPLE</t>
  </si>
  <si>
    <t>Strictement moins de 30%</t>
  </si>
  <si>
    <t>Strictement moins de 25%</t>
  </si>
  <si>
    <t>Rares</t>
  </si>
  <si>
    <t>Pas d'ENT</t>
  </si>
  <si>
    <t>Oui, à l'utilisation d'outils numériques ou aux usages du numérique</t>
  </si>
  <si>
    <t>Oui, aux deux aspects</t>
  </si>
  <si>
    <t>Au moins une fois au cours des trois dernières années</t>
  </si>
  <si>
    <t>Au moins une fois par an</t>
  </si>
  <si>
    <t>Au moins deux fois par an</t>
  </si>
  <si>
    <t>Strictement moins de la moitié</t>
  </si>
  <si>
    <t>Oui, aux aspects juridiques du numérique</t>
  </si>
  <si>
    <t>Strictement moins de 50%</t>
  </si>
  <si>
    <t>Plus de 50%</t>
  </si>
  <si>
    <t>Rarement visité</t>
  </si>
  <si>
    <t>Régulièrement visité</t>
  </si>
  <si>
    <t>Plus de 30%</t>
  </si>
  <si>
    <t>Plus de 25% et strictement moins de 50%</t>
  </si>
  <si>
    <t>1 à 3</t>
  </si>
  <si>
    <t>4 ou plus</t>
  </si>
  <si>
    <t>Plus de 50% et strictement moins de 75%</t>
  </si>
  <si>
    <t>Plus de 75%</t>
  </si>
  <si>
    <t>Plus de 50% et strictement moins de 100%</t>
  </si>
  <si>
    <t>Oui, occasionnellement</t>
  </si>
  <si>
    <t>Oui, régulièrement</t>
  </si>
  <si>
    <t>Limités</t>
  </si>
  <si>
    <t>Généralisés</t>
  </si>
  <si>
    <t>Généralisés mais exclusivement en LVE</t>
  </si>
  <si>
    <t>Limités et pas seulement en LVE</t>
  </si>
  <si>
    <t>Généralisés et pas seulement en LVE</t>
  </si>
  <si>
    <t>Cent pour cent</t>
  </si>
  <si>
    <t>Informations de contexte</t>
  </si>
  <si>
    <t>Visualisateurs</t>
  </si>
  <si>
    <t>Non réalisée</t>
  </si>
  <si>
    <t>Éditeur privé</t>
  </si>
  <si>
    <t>Démarche "zéro papier inutile"</t>
  </si>
  <si>
    <t>Démarche "zéro papier inutile" :</t>
  </si>
  <si>
    <t>Usage privilégié du numérique par l'équipe de direction et l'équipe administrative</t>
  </si>
  <si>
    <t>Usage privilégié du numérique par l'équipe de direction et l'équipe administrative :</t>
  </si>
  <si>
    <t>Formation des parents aux usages responsables des services numériques (au cours des trois dernières années) :</t>
  </si>
  <si>
    <t>Formation des parents aux usages responsables des services numériques</t>
  </si>
  <si>
    <t>Usages de services et ressources pédagogiques numériques institutionnels (D'Col, EFS, éduthèque, Fondamentaux, etc.)</t>
  </si>
  <si>
    <t>Usages de services et ressources pédagogiques numériques institutionnels (D'Col, EFS, éduthèque, Fondamentaux, etc.) :</t>
  </si>
  <si>
    <t>Limités et exclusivement en LVE</t>
  </si>
  <si>
    <t>Usages de services numériques de suivi de la maîtrise des compétences (ex : LPC, LSUN) :</t>
  </si>
  <si>
    <t>Usages de services numériques de suivi de la maîtrise des compétences (ex : LPC, LSUN, etc.)</t>
  </si>
  <si>
    <t>Points :</t>
  </si>
  <si>
    <t>Palier:</t>
  </si>
  <si>
    <t>UAI</t>
  </si>
  <si>
    <t>Nom du collège</t>
  </si>
  <si>
    <t>L'EPLE engage-til des moyens propres (budget, décharge, IMP, etc.) sur la maintenance quotidienne des équipements ?</t>
  </si>
  <si>
    <t>Entre 1 et 4</t>
  </si>
  <si>
    <t>Entre 5 et 9</t>
  </si>
  <si>
    <t>Plus de 10</t>
  </si>
  <si>
    <t xml:space="preserve">Palier </t>
  </si>
  <si>
    <t>Formation au numérique d'un ou de plusieurs membres du personnel administratif et/ou technique (au cours des trois dernières années) :</t>
  </si>
  <si>
    <t>Animations ponctuelles autour des usages du numérique par un référent numérique (personne ressource) dans l'établissement  (au cours des trois dernières années) :</t>
  </si>
  <si>
    <r>
      <t>Actions d'information et de sensibilisation aux usages responsables du numérique et à l'</t>
    </r>
    <r>
      <rPr>
        <b/>
        <sz val="11"/>
        <color theme="1"/>
        <rFont val="Calibri"/>
        <family val="2"/>
      </rPr>
      <t>Éducation aux Médias et à l'Information (EMI) à destination des enseignants (au cours des trois dernières années)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</si>
</sst>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26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BE56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>
        <bgColor theme="0" tint="-0.14996795556505021"/>
      </patternFill>
    </fill>
    <fill>
      <patternFill patternType="darkUp">
        <bgColor theme="0" tint="-0.34998626667073579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2" fontId="0" fillId="5" borderId="1" xfId="0" applyNumberForma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10" fontId="0" fillId="5" borderId="1" xfId="0" applyNumberForma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2" fontId="0" fillId="6" borderId="1" xfId="0" applyNumberForma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10" fontId="0" fillId="6" borderId="1" xfId="0" applyNumberForma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1" fillId="5" borderId="16" xfId="0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0" fontId="0" fillId="5" borderId="15" xfId="0" applyFill="1" applyBorder="1" applyAlignment="1">
      <alignment horizontal="center" vertical="center" wrapText="1"/>
    </xf>
    <xf numFmtId="0" fontId="9" fillId="6" borderId="14" xfId="0" applyFont="1" applyFill="1" applyBorder="1" applyAlignment="1">
      <alignment vertical="center" wrapText="1"/>
    </xf>
    <xf numFmtId="0" fontId="0" fillId="6" borderId="15" xfId="0" applyFill="1" applyBorder="1" applyAlignment="1">
      <alignment horizontal="center" vertical="center" wrapText="1"/>
    </xf>
    <xf numFmtId="0" fontId="9" fillId="5" borderId="16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9" fillId="5" borderId="28" xfId="0" applyFont="1" applyFill="1" applyBorder="1" applyAlignment="1">
      <alignment vertical="center" wrapText="1"/>
    </xf>
    <xf numFmtId="2" fontId="0" fillId="5" borderId="4" xfId="0" applyNumberForma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vertical="center" wrapText="1"/>
    </xf>
    <xf numFmtId="10" fontId="0" fillId="5" borderId="4" xfId="0" applyNumberFormat="1" applyFill="1" applyBorder="1" applyAlignment="1">
      <alignment vertical="center" wrapText="1"/>
    </xf>
    <xf numFmtId="0" fontId="15" fillId="0" borderId="0" xfId="0" applyFont="1" applyAlignment="1">
      <alignment horizontal="left" vertical="center" readingOrder="1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 readingOrder="1"/>
    </xf>
    <xf numFmtId="0" fontId="10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9" fontId="0" fillId="0" borderId="0" xfId="0" applyNumberFormat="1" applyAlignment="1">
      <alignment wrapText="1"/>
    </xf>
    <xf numFmtId="0" fontId="9" fillId="5" borderId="4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9" fillId="5" borderId="1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0" fillId="6" borderId="15" xfId="0" applyFill="1" applyBorder="1" applyAlignment="1" applyProtection="1">
      <alignment vertical="center" wrapText="1"/>
      <protection locked="0"/>
    </xf>
    <xf numFmtId="0" fontId="0" fillId="5" borderId="15" xfId="0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" fillId="5" borderId="8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5" fillId="6" borderId="9" xfId="0" applyFont="1" applyFill="1" applyBorder="1" applyAlignment="1" applyProtection="1">
      <alignment vertical="center" wrapText="1"/>
    </xf>
    <xf numFmtId="0" fontId="5" fillId="5" borderId="9" xfId="0" applyFont="1" applyFill="1" applyBorder="1" applyAlignment="1" applyProtection="1">
      <alignment vertical="center" wrapText="1"/>
    </xf>
    <xf numFmtId="0" fontId="5" fillId="5" borderId="10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5" borderId="42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 applyProtection="1">
      <alignment vertical="center" wrapText="1"/>
    </xf>
    <xf numFmtId="0" fontId="5" fillId="6" borderId="36" xfId="0" applyFont="1" applyFill="1" applyBorder="1" applyAlignment="1" applyProtection="1">
      <alignment vertical="center" wrapText="1"/>
    </xf>
    <xf numFmtId="0" fontId="5" fillId="5" borderId="44" xfId="0" applyFont="1" applyFill="1" applyBorder="1" applyAlignment="1" applyProtection="1">
      <alignment vertical="center" wrapText="1"/>
    </xf>
    <xf numFmtId="0" fontId="17" fillId="5" borderId="36" xfId="0" applyFont="1" applyFill="1" applyBorder="1" applyAlignment="1" applyProtection="1">
      <alignment horizontal="center" vertical="center" wrapText="1"/>
    </xf>
    <xf numFmtId="0" fontId="17" fillId="6" borderId="36" xfId="0" applyFont="1" applyFill="1" applyBorder="1" applyAlignment="1" applyProtection="1">
      <alignment horizontal="center" vertical="center" wrapText="1"/>
    </xf>
    <xf numFmtId="0" fontId="17" fillId="5" borderId="44" xfId="0" applyFont="1" applyFill="1" applyBorder="1" applyAlignment="1" applyProtection="1">
      <alignment horizontal="center" vertical="center" wrapText="1"/>
    </xf>
    <xf numFmtId="1" fontId="0" fillId="5" borderId="1" xfId="0" applyNumberFormat="1" applyFill="1" applyBorder="1" applyAlignment="1" applyProtection="1">
      <alignment horizontal="center" vertical="center" wrapText="1"/>
      <protection locked="0"/>
    </xf>
    <xf numFmtId="1" fontId="0" fillId="5" borderId="15" xfId="0" applyNumberFormat="1" applyFill="1" applyBorder="1" applyAlignment="1" applyProtection="1">
      <alignment horizontal="center" vertical="center" wrapText="1"/>
      <protection locked="0"/>
    </xf>
    <xf numFmtId="1" fontId="0" fillId="6" borderId="1" xfId="0" applyNumberFormat="1" applyFill="1" applyBorder="1" applyAlignment="1" applyProtection="1">
      <alignment horizontal="center" vertical="center" wrapText="1"/>
      <protection locked="0"/>
    </xf>
    <xf numFmtId="1" fontId="0" fillId="6" borderId="15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1" fontId="0" fillId="5" borderId="4" xfId="0" applyNumberFormat="1" applyFill="1" applyBorder="1" applyAlignment="1" applyProtection="1">
      <alignment horizontal="center" vertical="center" wrapText="1"/>
      <protection locked="0"/>
    </xf>
    <xf numFmtId="1" fontId="0" fillId="5" borderId="32" xfId="0" applyNumberForma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32" xfId="0" applyFill="1" applyBorder="1" applyAlignment="1" applyProtection="1">
      <alignment horizontal="center" vertical="center" wrapText="1"/>
      <protection locked="0"/>
    </xf>
    <xf numFmtId="1" fontId="0" fillId="5" borderId="17" xfId="0" applyNumberFormat="1" applyFill="1" applyBorder="1" applyAlignment="1" applyProtection="1">
      <alignment horizontal="center" vertical="center" wrapText="1"/>
      <protection locked="0"/>
    </xf>
    <xf numFmtId="1" fontId="0" fillId="5" borderId="18" xfId="0" applyNumberFormat="1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>
      <alignment horizontal="center" vertical="center" wrapText="1"/>
    </xf>
    <xf numFmtId="1" fontId="0" fillId="5" borderId="22" xfId="0" applyNumberFormat="1" applyFill="1" applyBorder="1" applyAlignment="1" applyProtection="1">
      <alignment horizontal="center" vertical="center" wrapText="1"/>
      <protection locked="0"/>
    </xf>
    <xf numFmtId="1" fontId="0" fillId="5" borderId="23" xfId="0" applyNumberFormat="1" applyFill="1" applyBorder="1" applyAlignment="1" applyProtection="1">
      <alignment horizontal="center" vertical="center" wrapText="1"/>
      <protection locked="0"/>
    </xf>
    <xf numFmtId="1" fontId="0" fillId="5" borderId="24" xfId="0" applyNumberFormat="1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" fontId="0" fillId="6" borderId="19" xfId="0" applyNumberFormat="1" applyFill="1" applyBorder="1" applyAlignment="1" applyProtection="1">
      <alignment horizontal="center" vertical="center" wrapText="1"/>
      <protection locked="0"/>
    </xf>
    <xf numFmtId="1" fontId="0" fillId="6" borderId="20" xfId="0" applyNumberFormat="1" applyFill="1" applyBorder="1" applyAlignment="1" applyProtection="1">
      <alignment horizontal="center" vertical="center" wrapText="1"/>
      <protection locked="0"/>
    </xf>
    <xf numFmtId="1" fontId="0" fillId="6" borderId="21" xfId="0" applyNumberFormat="1" applyFill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26" xfId="0" applyFill="1" applyBorder="1" applyAlignment="1" applyProtection="1">
      <alignment horizontal="center" vertical="center" wrapText="1"/>
      <protection locked="0"/>
    </xf>
    <xf numFmtId="0" fontId="0" fillId="6" borderId="27" xfId="0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 applyProtection="1">
      <alignment horizontal="center" vertical="center" wrapText="1"/>
      <protection locked="0"/>
    </xf>
    <xf numFmtId="9" fontId="0" fillId="5" borderId="1" xfId="0" applyNumberForma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9" fillId="5" borderId="14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3BE568"/>
      <color rgb="FFF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Résumé!$A$1</c:f>
          <c:strCache>
            <c:ptCount val="1"/>
            <c:pt idx="0">
              <c:v>Collège XXX - 0000000A</c:v>
            </c:pt>
          </c:strCache>
        </c:strRef>
      </c:tx>
      <c:layout/>
      <c:overlay val="0"/>
      <c:spPr>
        <a:solidFill>
          <a:schemeClr val="lt1"/>
        </a:solidFill>
        <a:ln w="44450" cap="flat" cmpd="sng" algn="ctr">
          <a:solidFill>
            <a:schemeClr val="accent5"/>
          </a:solidFill>
          <a:prstDash val="solid"/>
        </a:ln>
        <a:effectLst>
          <a:glow rad="635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softEdge rad="31750"/>
        </a:effectLst>
      </c:spPr>
      <c:txPr>
        <a:bodyPr/>
        <a:lstStyle/>
        <a:p>
          <a:pPr>
            <a:defRPr sz="320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63500"/>
            <a:effectLst/>
          </c:spPr>
          <c:marker>
            <c:symbol val="circle"/>
            <c:size val="6"/>
            <c:spPr>
              <a:ln w="38100"/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Résumé!$C$13:$I$13</c:f>
              <c:strCache>
                <c:ptCount val="7"/>
                <c:pt idx="0">
                  <c:v>Équipements</c:v>
                </c:pt>
                <c:pt idx="1">
                  <c:v>Infrastructures</c:v>
                </c:pt>
                <c:pt idx="2">
                  <c:v>Services</c:v>
                </c:pt>
                <c:pt idx="3">
                  <c:v>Pilotage</c:v>
                </c:pt>
                <c:pt idx="4">
                  <c:v>Formation</c:v>
                </c:pt>
                <c:pt idx="5">
                  <c:v>Utilisations</c:v>
                </c:pt>
                <c:pt idx="6">
                  <c:v>Usages</c:v>
                </c:pt>
              </c:strCache>
            </c:strRef>
          </c:cat>
          <c:val>
            <c:numRef>
              <c:f>Résumé!$C$14:$I$14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F-489D-9FD9-5355216B47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9870336"/>
        <c:axId val="69871872"/>
      </c:radarChart>
      <c:catAx>
        <c:axId val="6987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effectLst>
            <a:outerShdw blurRad="50800" dist="38100" dir="2700000" sx="101000" sy="101000" algn="tl" rotWithShape="0">
              <a:schemeClr val="tx2">
                <a:lumMod val="60000"/>
                <a:lumOff val="40000"/>
                <a:alpha val="40000"/>
              </a:schemeClr>
            </a:outerShdw>
          </a:effectLst>
        </c:spPr>
        <c:txPr>
          <a:bodyPr/>
          <a:lstStyle/>
          <a:p>
            <a:pPr>
              <a:defRPr sz="2400" b="1">
                <a:solidFill>
                  <a:srgbClr val="00B0F0"/>
                </a:solidFill>
              </a:defRPr>
            </a:pPr>
            <a:endParaRPr lang="fr-FR"/>
          </a:p>
        </c:txPr>
        <c:crossAx val="69871872"/>
        <c:crosses val="autoZero"/>
        <c:auto val="1"/>
        <c:lblAlgn val="ctr"/>
        <c:lblOffset val="100"/>
        <c:noMultiLvlLbl val="0"/>
      </c:catAx>
      <c:valAx>
        <c:axId val="69871872"/>
        <c:scaling>
          <c:orientation val="minMax"/>
          <c:max val="10"/>
          <c:min val="0"/>
        </c:scaling>
        <c:delete val="0"/>
        <c:axPos val="l"/>
        <c:majorGridlines/>
        <c:numFmt formatCode="#,##0" sourceLinked="0"/>
        <c:majorTickMark val="cross"/>
        <c:minorTickMark val="none"/>
        <c:tickLblPos val="nextTo"/>
        <c:crossAx val="69870336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1">
    <tabColor rgb="FF00B050"/>
  </sheetPr>
  <sheetViews>
    <sheetView zoomScale="77" workbookViewId="0" zoomToFit="1"/>
  </sheetViews>
  <sheetProtection password="CC95" content="1" objects="1"/>
  <pageMargins left="0.23622047244094488" right="0.23622047244094488" top="0.23622047244094488" bottom="0.23622047244094488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20821</xdr:colOff>
      <xdr:row>8</xdr:row>
      <xdr:rowOff>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830821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149692" cy="701386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F0"/>
    <pageSetUpPr fitToPage="1"/>
  </sheetPr>
  <dimension ref="A1"/>
  <sheetViews>
    <sheetView topLeftCell="A2" workbookViewId="0">
      <selection activeCell="E17" sqref="E17"/>
    </sheetView>
  </sheetViews>
  <sheetFormatPr baseColWidth="10" defaultRowHeight="14.25" x14ac:dyDescent="0.45"/>
  <sheetData/>
  <pageMargins left="0.23622047244094488" right="0.23622047244094488" top="0.23622047244094488" bottom="0.23622047244094488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00B050"/>
  </sheetPr>
  <dimension ref="A1:I17"/>
  <sheetViews>
    <sheetView topLeftCell="A4" workbookViewId="0">
      <selection activeCell="F10" sqref="F10"/>
    </sheetView>
  </sheetViews>
  <sheetFormatPr baseColWidth="10" defaultColWidth="11.46484375" defaultRowHeight="14.25" x14ac:dyDescent="0.45"/>
  <cols>
    <col min="1" max="1" width="27.6640625" style="105" customWidth="1"/>
    <col min="2" max="2" width="11.86328125" style="105" customWidth="1"/>
    <col min="3" max="3" width="22" style="105" customWidth="1"/>
    <col min="4" max="4" width="14" style="105" bestFit="1" customWidth="1"/>
    <col min="5" max="6" width="8.33203125" style="105" bestFit="1" customWidth="1"/>
    <col min="7" max="7" width="10.1328125" style="105" bestFit="1" customWidth="1"/>
    <col min="8" max="8" width="11" style="105" bestFit="1" customWidth="1"/>
    <col min="9" max="9" width="7.1328125" style="105" bestFit="1" customWidth="1"/>
    <col min="10" max="16384" width="11.46484375" style="105"/>
  </cols>
  <sheetData>
    <row r="1" spans="1:9" ht="84.75" customHeight="1" x14ac:dyDescent="0.45">
      <c r="A1" s="218" t="str">
        <f>"Collège "&amp;'Données brutes'!B2&amp;" - "&amp;'Données brutes'!B3</f>
        <v>Collège XXX - 0000000A</v>
      </c>
      <c r="B1" s="219"/>
      <c r="C1" s="219"/>
      <c r="D1" s="219"/>
      <c r="E1" s="219"/>
      <c r="F1" s="219"/>
    </row>
    <row r="3" spans="1:9" ht="33.4" x14ac:dyDescent="0.45">
      <c r="A3" s="220" t="s">
        <v>101</v>
      </c>
      <c r="B3" s="221"/>
      <c r="C3" s="221"/>
      <c r="D3" s="221"/>
      <c r="E3" s="221"/>
      <c r="F3" s="221"/>
    </row>
    <row r="4" spans="1:9" ht="14.65" thickBot="1" x14ac:dyDescent="0.5">
      <c r="C4" s="104"/>
      <c r="D4" s="104"/>
      <c r="E4" s="104"/>
    </row>
    <row r="5" spans="1:9" ht="25.9" thickBot="1" x14ac:dyDescent="0.5">
      <c r="A5" s="106" t="s">
        <v>102</v>
      </c>
      <c r="B5" s="119" t="s">
        <v>327</v>
      </c>
      <c r="C5" s="114">
        <f>équipements!C26</f>
        <v>1</v>
      </c>
      <c r="D5" s="122" t="s">
        <v>24</v>
      </c>
      <c r="E5" s="112"/>
      <c r="F5" s="113"/>
      <c r="G5" s="113"/>
    </row>
    <row r="6" spans="1:9" ht="25.9" thickBot="1" x14ac:dyDescent="0.5">
      <c r="A6" s="109" t="s">
        <v>103</v>
      </c>
      <c r="B6" s="120" t="s">
        <v>327</v>
      </c>
      <c r="C6" s="115">
        <f>infrastructures!C22</f>
        <v>1</v>
      </c>
      <c r="D6" s="123" t="s">
        <v>24</v>
      </c>
      <c r="E6" s="112"/>
      <c r="F6" s="113"/>
      <c r="G6" s="113"/>
    </row>
    <row r="7" spans="1:9" ht="25.9" thickBot="1" x14ac:dyDescent="0.5">
      <c r="A7" s="110" t="s">
        <v>104</v>
      </c>
      <c r="B7" s="119" t="s">
        <v>327</v>
      </c>
      <c r="C7" s="114">
        <f>services!B22</f>
        <v>1</v>
      </c>
      <c r="D7" s="122" t="s">
        <v>24</v>
      </c>
      <c r="E7" s="112"/>
      <c r="F7" s="113"/>
      <c r="G7" s="113"/>
    </row>
    <row r="8" spans="1:9" ht="25.9" thickBot="1" x14ac:dyDescent="0.5">
      <c r="A8" s="109" t="s">
        <v>105</v>
      </c>
      <c r="B8" s="120" t="s">
        <v>327</v>
      </c>
      <c r="C8" s="115">
        <f>pilotage!B27</f>
        <v>1</v>
      </c>
      <c r="D8" s="123" t="s">
        <v>24</v>
      </c>
      <c r="E8" s="112"/>
      <c r="F8" s="113"/>
      <c r="G8" s="113"/>
    </row>
    <row r="9" spans="1:9" ht="25.9" thickBot="1" x14ac:dyDescent="0.5">
      <c r="A9" s="110" t="s">
        <v>106</v>
      </c>
      <c r="B9" s="119" t="s">
        <v>327</v>
      </c>
      <c r="C9" s="114">
        <f>formation!B20</f>
        <v>1</v>
      </c>
      <c r="D9" s="122" t="s">
        <v>24</v>
      </c>
      <c r="E9" s="112"/>
      <c r="F9" s="113"/>
      <c r="G9" s="113"/>
    </row>
    <row r="10" spans="1:9" ht="25.9" thickBot="1" x14ac:dyDescent="0.5">
      <c r="A10" s="109" t="s">
        <v>107</v>
      </c>
      <c r="B10" s="120" t="s">
        <v>327</v>
      </c>
      <c r="C10" s="115">
        <f>utilisations!B18</f>
        <v>1</v>
      </c>
      <c r="D10" s="123" t="s">
        <v>24</v>
      </c>
      <c r="E10" s="112"/>
      <c r="F10" s="113"/>
      <c r="G10" s="113"/>
    </row>
    <row r="11" spans="1:9" ht="25.9" thickBot="1" x14ac:dyDescent="0.5">
      <c r="A11" s="111" t="s">
        <v>108</v>
      </c>
      <c r="B11" s="121" t="s">
        <v>327</v>
      </c>
      <c r="C11" s="116">
        <f>usages!B28</f>
        <v>1</v>
      </c>
      <c r="D11" s="124" t="s">
        <v>24</v>
      </c>
      <c r="E11" s="112"/>
      <c r="F11" s="113"/>
      <c r="G11" s="113"/>
    </row>
    <row r="12" spans="1:9" x14ac:dyDescent="0.45">
      <c r="C12" s="104"/>
      <c r="D12" s="104"/>
      <c r="E12" s="104"/>
    </row>
    <row r="13" spans="1:9" ht="28.5" x14ac:dyDescent="0.45">
      <c r="A13" s="108" t="s">
        <v>321</v>
      </c>
      <c r="B13" s="108" t="s">
        <v>322</v>
      </c>
      <c r="C13" s="107" t="s">
        <v>109</v>
      </c>
      <c r="D13" s="104" t="s">
        <v>14</v>
      </c>
      <c r="E13" s="104" t="s">
        <v>29</v>
      </c>
      <c r="F13" s="104" t="s">
        <v>43</v>
      </c>
      <c r="G13" s="104" t="s">
        <v>58</v>
      </c>
      <c r="H13" s="104" t="s">
        <v>69</v>
      </c>
      <c r="I13" s="104" t="s">
        <v>81</v>
      </c>
    </row>
    <row r="14" spans="1:9" x14ac:dyDescent="0.45">
      <c r="A14" s="108" t="str">
        <f>'Données brutes'!B3</f>
        <v>0000000A</v>
      </c>
      <c r="B14" s="108" t="str">
        <f>'Données brutes'!B2</f>
        <v>XXX</v>
      </c>
      <c r="C14" s="104">
        <f>équipements!C26</f>
        <v>1</v>
      </c>
      <c r="D14" s="104">
        <f>infrastructures!C22</f>
        <v>1</v>
      </c>
      <c r="E14" s="104">
        <f>services!B22</f>
        <v>1</v>
      </c>
      <c r="F14" s="108">
        <f>pilotage!B27</f>
        <v>1</v>
      </c>
      <c r="G14" s="108">
        <f>formation!B20</f>
        <v>1</v>
      </c>
      <c r="H14" s="108">
        <f>utilisations!B18</f>
        <v>1</v>
      </c>
      <c r="I14" s="108">
        <f>usages!B28</f>
        <v>1</v>
      </c>
    </row>
    <row r="15" spans="1:9" x14ac:dyDescent="0.45">
      <c r="A15" s="113"/>
      <c r="B15" s="113"/>
      <c r="C15" s="112"/>
      <c r="D15" s="112"/>
      <c r="E15" s="112"/>
      <c r="F15" s="113"/>
      <c r="G15" s="113"/>
    </row>
    <row r="16" spans="1:9" x14ac:dyDescent="0.45">
      <c r="A16" s="113"/>
      <c r="B16" s="113"/>
      <c r="C16" s="113"/>
      <c r="D16" s="113"/>
      <c r="E16" s="113"/>
      <c r="F16" s="113"/>
      <c r="G16" s="113"/>
    </row>
    <row r="17" spans="2:7" x14ac:dyDescent="0.45">
      <c r="B17" s="113"/>
      <c r="C17" s="113"/>
      <c r="D17" s="113"/>
      <c r="E17" s="113"/>
      <c r="F17" s="113"/>
      <c r="G17" s="113"/>
    </row>
  </sheetData>
  <sheetProtection password="CC95" sheet="1" objects="1" scenarios="1"/>
  <dataConsolidate/>
  <mergeCells count="2">
    <mergeCell ref="A1:F1"/>
    <mergeCell ref="A3:F3"/>
  </mergeCells>
  <conditionalFormatting sqref="B5:B11">
    <cfRule type="dataBar" priority="6">
      <dataBar>
        <cfvo type="num" val="1"/>
        <cfvo type="num" val="10"/>
        <color rgb="FF00B050"/>
      </dataBar>
      <extLst>
        <ext xmlns:x14="http://schemas.microsoft.com/office/spreadsheetml/2009/9/main" uri="{B025F937-C7B1-47D3-B67F-A62EFF666E3E}">
          <x14:id>{9F99F105-2FA9-4BD1-9B5A-1736DA32E6E6}</x14:id>
        </ext>
      </extLst>
    </cfRule>
  </conditionalFormatting>
  <conditionalFormatting sqref="C5:C11">
    <cfRule type="dataBar" priority="1">
      <dataBar>
        <cfvo type="num" val="0"/>
        <cfvo type="num" val="10"/>
        <color rgb="FF63C384"/>
      </dataBar>
      <extLst>
        <ext xmlns:x14="http://schemas.microsoft.com/office/spreadsheetml/2009/9/main" uri="{B025F937-C7B1-47D3-B67F-A62EFF666E3E}">
          <x14:id>{55287683-F006-46CA-BBB1-F8A0E54B2D1E}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99F105-2FA9-4BD1-9B5A-1736DA32E6E6}">
            <x14:dataBar minLength="0" maxLength="100" gradient="0" direction="leftToRight">
              <x14:cfvo type="num">
                <xm:f>1</xm:f>
              </x14:cfvo>
              <x14:cfvo type="num">
                <xm:f>10</xm:f>
              </x14:cfvo>
              <x14:negativeFillColor rgb="FFFF0000"/>
              <x14:axisColor rgb="FF000000"/>
            </x14:dataBar>
          </x14:cfRule>
          <xm:sqref>B5:B11</xm:sqref>
        </x14:conditionalFormatting>
        <x14:conditionalFormatting xmlns:xm="http://schemas.microsoft.com/office/excel/2006/main">
          <x14:cfRule type="dataBar" id="{55287683-F006-46CA-BBB1-F8A0E54B2D1E}">
            <x14:dataBar minLength="0" maxLength="100" gradient="0">
              <x14:cfvo type="num">
                <xm:f>0</xm:f>
              </x14:cfvo>
              <x14:cfvo type="num">
                <xm:f>10</xm:f>
              </x14:cfvo>
              <x14:negativeFillColor rgb="FFFF0000"/>
              <x14:axisColor rgb="FF000000"/>
            </x14:dataBar>
          </x14:cfRule>
          <xm:sqref>C5:C11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7030A0"/>
    <pageSetUpPr fitToPage="1"/>
  </sheetPr>
  <dimension ref="A1:I120"/>
  <sheetViews>
    <sheetView tabSelected="1" zoomScale="80" zoomScaleNormal="80" workbookViewId="0">
      <selection activeCell="B83" sqref="B83:E83"/>
    </sheetView>
  </sheetViews>
  <sheetFormatPr baseColWidth="10" defaultColWidth="9.1328125" defaultRowHeight="14.25" x14ac:dyDescent="0.45"/>
  <cols>
    <col min="1" max="1" width="94.86328125" style="1" customWidth="1"/>
    <col min="2" max="2" width="32.46484375" style="1" customWidth="1"/>
    <col min="3" max="3" width="9.1328125" style="1"/>
    <col min="4" max="4" width="13.33203125" style="1" customWidth="1"/>
    <col min="5" max="6" width="9.1328125" style="1"/>
    <col min="7" max="9" width="0" style="1" hidden="1" customWidth="1"/>
    <col min="10" max="16384" width="9.1328125" style="1"/>
  </cols>
  <sheetData>
    <row r="1" spans="1:9" ht="25.9" thickBot="1" x14ac:dyDescent="0.5">
      <c r="A1" s="141" t="s">
        <v>304</v>
      </c>
      <c r="B1" s="142"/>
      <c r="C1" s="142"/>
      <c r="D1" s="142"/>
      <c r="E1" s="143"/>
      <c r="G1" s="1">
        <f>IF(H1=0,0,IF(H1=I1,2,1))</f>
        <v>1</v>
      </c>
      <c r="H1" s="1">
        <f>SUM(H2:H6)</f>
        <v>2</v>
      </c>
      <c r="I1" s="1">
        <f>SUM(I2:I6)</f>
        <v>5</v>
      </c>
    </row>
    <row r="2" spans="1:9" x14ac:dyDescent="0.45">
      <c r="A2" s="30" t="s">
        <v>112</v>
      </c>
      <c r="B2" s="144" t="s">
        <v>110</v>
      </c>
      <c r="C2" s="144"/>
      <c r="D2" s="144"/>
      <c r="E2" s="145"/>
      <c r="G2" s="1" t="b">
        <f>ISBLANK(B2)</f>
        <v>0</v>
      </c>
      <c r="H2" s="1">
        <f>IF(G2=FALSE,1,0)</f>
        <v>1</v>
      </c>
      <c r="I2" s="1">
        <v>1</v>
      </c>
    </row>
    <row r="3" spans="1:9" x14ac:dyDescent="0.45">
      <c r="A3" s="33" t="s">
        <v>113</v>
      </c>
      <c r="B3" s="131" t="s">
        <v>111</v>
      </c>
      <c r="C3" s="131"/>
      <c r="D3" s="131"/>
      <c r="E3" s="132"/>
      <c r="G3" s="1" t="b">
        <f t="shared" ref="G3:G66" si="0">ISBLANK(B3)</f>
        <v>0</v>
      </c>
      <c r="H3" s="1">
        <f t="shared" ref="H3:H66" si="1">IF(G3=FALSE,1,0)</f>
        <v>1</v>
      </c>
      <c r="I3" s="1">
        <v>1</v>
      </c>
    </row>
    <row r="4" spans="1:9" x14ac:dyDescent="0.45">
      <c r="A4" s="31" t="s">
        <v>114</v>
      </c>
      <c r="B4" s="125"/>
      <c r="C4" s="125"/>
      <c r="D4" s="125"/>
      <c r="E4" s="126"/>
      <c r="G4" s="1" t="b">
        <f t="shared" si="0"/>
        <v>1</v>
      </c>
      <c r="H4" s="1">
        <f t="shared" si="1"/>
        <v>0</v>
      </c>
      <c r="I4" s="1">
        <v>1</v>
      </c>
    </row>
    <row r="5" spans="1:9" x14ac:dyDescent="0.45">
      <c r="A5" s="33" t="s">
        <v>115</v>
      </c>
      <c r="B5" s="127"/>
      <c r="C5" s="127"/>
      <c r="D5" s="127"/>
      <c r="E5" s="128"/>
      <c r="G5" s="1" t="b">
        <f t="shared" si="0"/>
        <v>1</v>
      </c>
      <c r="H5" s="1">
        <f t="shared" si="1"/>
        <v>0</v>
      </c>
      <c r="I5" s="1">
        <v>1</v>
      </c>
    </row>
    <row r="6" spans="1:9" ht="14.65" thickBot="1" x14ac:dyDescent="0.5">
      <c r="A6" s="32" t="s">
        <v>120</v>
      </c>
      <c r="B6" s="146"/>
      <c r="C6" s="146"/>
      <c r="D6" s="146"/>
      <c r="E6" s="147"/>
      <c r="G6" s="1" t="b">
        <f t="shared" si="0"/>
        <v>1</v>
      </c>
      <c r="H6" s="1">
        <f t="shared" si="1"/>
        <v>0</v>
      </c>
      <c r="I6" s="1">
        <v>1</v>
      </c>
    </row>
    <row r="7" spans="1:9" ht="14.65" thickBot="1" x14ac:dyDescent="0.5"/>
    <row r="8" spans="1:9" ht="25.9" thickBot="1" x14ac:dyDescent="0.5">
      <c r="A8" s="134" t="s">
        <v>109</v>
      </c>
      <c r="B8" s="135"/>
      <c r="C8" s="135"/>
      <c r="D8" s="135"/>
      <c r="E8" s="136"/>
      <c r="G8" s="1">
        <f>IF(H8=0,0,IF(H8=I8,2,1))</f>
        <v>0</v>
      </c>
      <c r="H8" s="1">
        <f>SUM(H9:H25)</f>
        <v>0</v>
      </c>
      <c r="I8" s="1">
        <f>SUM(I9:I25)</f>
        <v>17</v>
      </c>
    </row>
    <row r="9" spans="1:9" x14ac:dyDescent="0.45">
      <c r="A9" s="30" t="s">
        <v>116</v>
      </c>
      <c r="B9" s="139"/>
      <c r="C9" s="139"/>
      <c r="D9" s="139"/>
      <c r="E9" s="140"/>
      <c r="G9" s="1" t="b">
        <f t="shared" si="0"/>
        <v>1</v>
      </c>
      <c r="H9" s="1">
        <f t="shared" si="1"/>
        <v>0</v>
      </c>
      <c r="I9" s="1">
        <v>1</v>
      </c>
    </row>
    <row r="10" spans="1:9" x14ac:dyDescent="0.45">
      <c r="A10" s="33" t="s">
        <v>117</v>
      </c>
      <c r="B10" s="127"/>
      <c r="C10" s="127"/>
      <c r="D10" s="127"/>
      <c r="E10" s="128"/>
      <c r="G10" s="1" t="b">
        <f t="shared" si="0"/>
        <v>1</v>
      </c>
      <c r="H10" s="1">
        <f t="shared" si="1"/>
        <v>0</v>
      </c>
      <c r="I10" s="1">
        <v>1</v>
      </c>
    </row>
    <row r="11" spans="1:9" x14ac:dyDescent="0.45">
      <c r="A11" s="31" t="s">
        <v>118</v>
      </c>
      <c r="B11" s="125"/>
      <c r="C11" s="125"/>
      <c r="D11" s="125"/>
      <c r="E11" s="126"/>
      <c r="G11" s="1" t="b">
        <f t="shared" si="0"/>
        <v>1</v>
      </c>
      <c r="H11" s="1">
        <f t="shared" si="1"/>
        <v>0</v>
      </c>
      <c r="I11" s="1">
        <v>1</v>
      </c>
    </row>
    <row r="12" spans="1:9" x14ac:dyDescent="0.45">
      <c r="A12" s="33" t="s">
        <v>119</v>
      </c>
      <c r="B12" s="127"/>
      <c r="C12" s="127"/>
      <c r="D12" s="127"/>
      <c r="E12" s="128"/>
      <c r="G12" s="1" t="b">
        <f t="shared" si="0"/>
        <v>1</v>
      </c>
      <c r="H12" s="1">
        <f t="shared" si="1"/>
        <v>0</v>
      </c>
      <c r="I12" s="1">
        <v>1</v>
      </c>
    </row>
    <row r="13" spans="1:9" x14ac:dyDescent="0.45">
      <c r="A13" s="31" t="s">
        <v>121</v>
      </c>
      <c r="B13" s="125"/>
      <c r="C13" s="125"/>
      <c r="D13" s="125"/>
      <c r="E13" s="126"/>
      <c r="G13" s="1" t="b">
        <f t="shared" si="0"/>
        <v>1</v>
      </c>
      <c r="H13" s="1">
        <f t="shared" si="1"/>
        <v>0</v>
      </c>
      <c r="I13" s="1">
        <v>1</v>
      </c>
    </row>
    <row r="14" spans="1:9" x14ac:dyDescent="0.45">
      <c r="A14" s="33" t="s">
        <v>122</v>
      </c>
      <c r="B14" s="127"/>
      <c r="C14" s="127"/>
      <c r="D14" s="127"/>
      <c r="E14" s="128"/>
      <c r="G14" s="1" t="b">
        <f t="shared" si="0"/>
        <v>1</v>
      </c>
      <c r="H14" s="1">
        <f t="shared" si="1"/>
        <v>0</v>
      </c>
      <c r="I14" s="1">
        <v>1</v>
      </c>
    </row>
    <row r="15" spans="1:9" x14ac:dyDescent="0.45">
      <c r="A15" s="31" t="s">
        <v>123</v>
      </c>
      <c r="B15" s="129"/>
      <c r="C15" s="129"/>
      <c r="D15" s="129"/>
      <c r="E15" s="130"/>
      <c r="G15" s="1" t="b">
        <f t="shared" si="0"/>
        <v>1</v>
      </c>
      <c r="H15" s="1">
        <f t="shared" si="1"/>
        <v>0</v>
      </c>
      <c r="I15" s="1">
        <v>1</v>
      </c>
    </row>
    <row r="16" spans="1:9" ht="33.75" customHeight="1" x14ac:dyDescent="0.45">
      <c r="A16" s="33" t="s">
        <v>124</v>
      </c>
      <c r="B16" s="131"/>
      <c r="C16" s="131"/>
      <c r="D16" s="131"/>
      <c r="E16" s="132"/>
      <c r="G16" s="1" t="b">
        <f t="shared" si="0"/>
        <v>1</v>
      </c>
      <c r="H16" s="1">
        <f t="shared" si="1"/>
        <v>0</v>
      </c>
      <c r="I16" s="1">
        <v>1</v>
      </c>
    </row>
    <row r="17" spans="1:9" x14ac:dyDescent="0.45">
      <c r="A17" s="133" t="s">
        <v>125</v>
      </c>
      <c r="B17" s="16" t="s">
        <v>126</v>
      </c>
      <c r="C17" s="129"/>
      <c r="D17" s="129"/>
      <c r="E17" s="130"/>
      <c r="G17" s="1" t="b">
        <f>ISBLANK(C17)</f>
        <v>1</v>
      </c>
      <c r="H17" s="1">
        <f t="shared" si="1"/>
        <v>0</v>
      </c>
      <c r="I17" s="1">
        <v>1</v>
      </c>
    </row>
    <row r="18" spans="1:9" x14ac:dyDescent="0.45">
      <c r="A18" s="133"/>
      <c r="B18" s="20" t="s">
        <v>127</v>
      </c>
      <c r="C18" s="131"/>
      <c r="D18" s="131"/>
      <c r="E18" s="132"/>
      <c r="G18" s="1" t="b">
        <f t="shared" ref="G18:G23" si="2">ISBLANK(C18)</f>
        <v>1</v>
      </c>
      <c r="H18" s="1">
        <f t="shared" si="1"/>
        <v>0</v>
      </c>
      <c r="I18" s="1">
        <v>1</v>
      </c>
    </row>
    <row r="19" spans="1:9" x14ac:dyDescent="0.45">
      <c r="A19" s="133"/>
      <c r="B19" s="16" t="s">
        <v>128</v>
      </c>
      <c r="C19" s="129"/>
      <c r="D19" s="129"/>
      <c r="E19" s="130"/>
      <c r="G19" s="1" t="b">
        <f t="shared" si="2"/>
        <v>1</v>
      </c>
      <c r="H19" s="1">
        <f t="shared" si="1"/>
        <v>0</v>
      </c>
      <c r="I19" s="1">
        <v>1</v>
      </c>
    </row>
    <row r="20" spans="1:9" x14ac:dyDescent="0.45">
      <c r="A20" s="133"/>
      <c r="B20" s="20" t="s">
        <v>129</v>
      </c>
      <c r="C20" s="131"/>
      <c r="D20" s="131"/>
      <c r="E20" s="132"/>
      <c r="G20" s="1" t="b">
        <f t="shared" si="2"/>
        <v>1</v>
      </c>
      <c r="H20" s="1">
        <f t="shared" si="1"/>
        <v>0</v>
      </c>
      <c r="I20" s="1">
        <v>1</v>
      </c>
    </row>
    <row r="21" spans="1:9" x14ac:dyDescent="0.45">
      <c r="A21" s="133"/>
      <c r="B21" s="16" t="s">
        <v>130</v>
      </c>
      <c r="C21" s="129"/>
      <c r="D21" s="129"/>
      <c r="E21" s="130"/>
      <c r="G21" s="1" t="b">
        <f t="shared" si="2"/>
        <v>1</v>
      </c>
      <c r="H21" s="1">
        <f t="shared" si="1"/>
        <v>0</v>
      </c>
      <c r="I21" s="1">
        <v>1</v>
      </c>
    </row>
    <row r="22" spans="1:9" x14ac:dyDescent="0.45">
      <c r="A22" s="133"/>
      <c r="B22" s="20" t="s">
        <v>131</v>
      </c>
      <c r="C22" s="131"/>
      <c r="D22" s="131"/>
      <c r="E22" s="132"/>
      <c r="G22" s="1" t="b">
        <f t="shared" si="2"/>
        <v>1</v>
      </c>
      <c r="H22" s="1">
        <f t="shared" si="1"/>
        <v>0</v>
      </c>
      <c r="I22" s="1">
        <v>1</v>
      </c>
    </row>
    <row r="23" spans="1:9" x14ac:dyDescent="0.45">
      <c r="A23" s="133"/>
      <c r="B23" s="16" t="s">
        <v>305</v>
      </c>
      <c r="C23" s="129"/>
      <c r="D23" s="129"/>
      <c r="E23" s="130"/>
      <c r="G23" s="1" t="b">
        <f t="shared" si="2"/>
        <v>1</v>
      </c>
      <c r="H23" s="1">
        <f t="shared" si="1"/>
        <v>0</v>
      </c>
      <c r="I23" s="1">
        <v>1</v>
      </c>
    </row>
    <row r="24" spans="1:9" x14ac:dyDescent="0.45">
      <c r="A24" s="33" t="s">
        <v>132</v>
      </c>
      <c r="B24" s="131"/>
      <c r="C24" s="131"/>
      <c r="D24" s="131"/>
      <c r="E24" s="132"/>
      <c r="G24" s="1" t="b">
        <f t="shared" si="0"/>
        <v>1</v>
      </c>
      <c r="H24" s="1">
        <f t="shared" si="1"/>
        <v>0</v>
      </c>
      <c r="I24" s="1">
        <v>1</v>
      </c>
    </row>
    <row r="25" spans="1:9" ht="14.65" thickBot="1" x14ac:dyDescent="0.5">
      <c r="A25" s="32" t="s">
        <v>323</v>
      </c>
      <c r="B25" s="137"/>
      <c r="C25" s="137"/>
      <c r="D25" s="137"/>
      <c r="E25" s="138"/>
      <c r="G25" s="1" t="b">
        <f t="shared" si="0"/>
        <v>1</v>
      </c>
      <c r="H25" s="1">
        <f t="shared" si="1"/>
        <v>0</v>
      </c>
      <c r="I25" s="1">
        <v>1</v>
      </c>
    </row>
    <row r="26" spans="1:9" ht="14.65" thickBot="1" x14ac:dyDescent="0.5"/>
    <row r="27" spans="1:9" ht="25.9" thickBot="1" x14ac:dyDescent="0.5">
      <c r="A27" s="134" t="s">
        <v>14</v>
      </c>
      <c r="B27" s="135"/>
      <c r="C27" s="135"/>
      <c r="D27" s="135"/>
      <c r="E27" s="136"/>
      <c r="G27" s="1">
        <f>IF(H27=0,0,IF(H27=I27,2,1))</f>
        <v>0</v>
      </c>
      <c r="H27" s="1">
        <f>SUM(H28:H40)</f>
        <v>0</v>
      </c>
      <c r="I27" s="1">
        <f>SUM(I28:I40)</f>
        <v>13</v>
      </c>
    </row>
    <row r="28" spans="1:9" x14ac:dyDescent="0.45">
      <c r="A28" s="30" t="s">
        <v>133</v>
      </c>
      <c r="B28" s="149"/>
      <c r="C28" s="150"/>
      <c r="D28" s="150"/>
      <c r="E28" s="151"/>
      <c r="G28" s="1" t="b">
        <f t="shared" si="0"/>
        <v>1</v>
      </c>
      <c r="H28" s="1">
        <f t="shared" si="1"/>
        <v>0</v>
      </c>
      <c r="I28" s="1">
        <v>1</v>
      </c>
    </row>
    <row r="29" spans="1:9" x14ac:dyDescent="0.45">
      <c r="A29" s="33" t="s">
        <v>134</v>
      </c>
      <c r="B29" s="152"/>
      <c r="C29" s="153"/>
      <c r="D29" s="153"/>
      <c r="E29" s="154"/>
      <c r="G29" s="1" t="b">
        <f t="shared" si="0"/>
        <v>1</v>
      </c>
      <c r="H29" s="1">
        <f t="shared" si="1"/>
        <v>0</v>
      </c>
      <c r="I29" s="1">
        <v>1</v>
      </c>
    </row>
    <row r="30" spans="1:9" x14ac:dyDescent="0.45">
      <c r="A30" s="31" t="s">
        <v>135</v>
      </c>
      <c r="B30" s="129"/>
      <c r="C30" s="129"/>
      <c r="D30" s="129"/>
      <c r="E30" s="130"/>
      <c r="G30" s="1" t="b">
        <f t="shared" si="0"/>
        <v>1</v>
      </c>
      <c r="H30" s="1">
        <f t="shared" si="1"/>
        <v>0</v>
      </c>
      <c r="I30" s="1">
        <v>1</v>
      </c>
    </row>
    <row r="31" spans="1:9" x14ac:dyDescent="0.45">
      <c r="A31" s="35" t="s">
        <v>136</v>
      </c>
      <c r="B31" s="131"/>
      <c r="C31" s="131"/>
      <c r="D31" s="131"/>
      <c r="E31" s="132"/>
      <c r="G31" s="1" t="b">
        <f t="shared" si="0"/>
        <v>1</v>
      </c>
      <c r="H31" s="1">
        <f t="shared" si="1"/>
        <v>0</v>
      </c>
      <c r="I31" s="1">
        <v>1</v>
      </c>
    </row>
    <row r="32" spans="1:9" x14ac:dyDescent="0.45">
      <c r="A32" s="31" t="s">
        <v>137</v>
      </c>
      <c r="B32" s="155"/>
      <c r="C32" s="156"/>
      <c r="D32" s="156"/>
      <c r="E32" s="157"/>
      <c r="G32" s="1" t="b">
        <f t="shared" si="0"/>
        <v>1</v>
      </c>
      <c r="H32" s="1">
        <f t="shared" si="1"/>
        <v>0</v>
      </c>
      <c r="I32" s="1">
        <v>1</v>
      </c>
    </row>
    <row r="33" spans="1:9" x14ac:dyDescent="0.45">
      <c r="A33" s="148" t="s">
        <v>138</v>
      </c>
      <c r="B33" s="20" t="s">
        <v>139</v>
      </c>
      <c r="C33" s="131"/>
      <c r="D33" s="131"/>
      <c r="E33" s="132"/>
      <c r="G33" s="1" t="b">
        <f>ISBLANK(C33)</f>
        <v>1</v>
      </c>
      <c r="H33" s="1">
        <f t="shared" si="1"/>
        <v>0</v>
      </c>
      <c r="I33" s="1">
        <v>1</v>
      </c>
    </row>
    <row r="34" spans="1:9" x14ac:dyDescent="0.45">
      <c r="A34" s="148"/>
      <c r="B34" s="16" t="s">
        <v>140</v>
      </c>
      <c r="C34" s="129"/>
      <c r="D34" s="129"/>
      <c r="E34" s="130"/>
      <c r="G34" s="1" t="b">
        <f t="shared" ref="G34:G36" si="3">ISBLANK(C34)</f>
        <v>1</v>
      </c>
      <c r="H34" s="1">
        <f t="shared" si="1"/>
        <v>0</v>
      </c>
      <c r="I34" s="1">
        <v>1</v>
      </c>
    </row>
    <row r="35" spans="1:9" x14ac:dyDescent="0.45">
      <c r="A35" s="148"/>
      <c r="B35" s="20" t="s">
        <v>141</v>
      </c>
      <c r="C35" s="131"/>
      <c r="D35" s="131"/>
      <c r="E35" s="132"/>
      <c r="G35" s="1" t="b">
        <f t="shared" si="3"/>
        <v>1</v>
      </c>
      <c r="H35" s="1">
        <f t="shared" si="1"/>
        <v>0</v>
      </c>
      <c r="I35" s="1">
        <v>1</v>
      </c>
    </row>
    <row r="36" spans="1:9" x14ac:dyDescent="0.45">
      <c r="A36" s="148"/>
      <c r="B36" s="16" t="s">
        <v>142</v>
      </c>
      <c r="C36" s="129"/>
      <c r="D36" s="129"/>
      <c r="E36" s="130"/>
      <c r="G36" s="1" t="b">
        <f t="shared" si="3"/>
        <v>1</v>
      </c>
      <c r="H36" s="1">
        <f t="shared" si="1"/>
        <v>0</v>
      </c>
      <c r="I36" s="1">
        <v>1</v>
      </c>
    </row>
    <row r="37" spans="1:9" x14ac:dyDescent="0.45">
      <c r="A37" s="31" t="s">
        <v>143</v>
      </c>
      <c r="B37" s="155"/>
      <c r="C37" s="156"/>
      <c r="D37" s="156"/>
      <c r="E37" s="157"/>
      <c r="G37" s="1" t="b">
        <f t="shared" si="0"/>
        <v>1</v>
      </c>
      <c r="H37" s="1">
        <f t="shared" si="1"/>
        <v>0</v>
      </c>
      <c r="I37" s="1">
        <v>1</v>
      </c>
    </row>
    <row r="38" spans="1:9" x14ac:dyDescent="0.45">
      <c r="A38" s="33" t="s">
        <v>144</v>
      </c>
      <c r="B38" s="164"/>
      <c r="C38" s="165"/>
      <c r="D38" s="165"/>
      <c r="E38" s="166"/>
      <c r="G38" s="1" t="b">
        <f t="shared" si="0"/>
        <v>1</v>
      </c>
      <c r="H38" s="1">
        <f t="shared" si="1"/>
        <v>0</v>
      </c>
      <c r="I38" s="1">
        <v>1</v>
      </c>
    </row>
    <row r="39" spans="1:9" x14ac:dyDescent="0.45">
      <c r="A39" s="34" t="s">
        <v>145</v>
      </c>
      <c r="B39" s="129"/>
      <c r="C39" s="129"/>
      <c r="D39" s="129"/>
      <c r="E39" s="130"/>
      <c r="G39" s="1" t="b">
        <f t="shared" si="0"/>
        <v>1</v>
      </c>
      <c r="H39" s="1">
        <f t="shared" si="1"/>
        <v>0</v>
      </c>
      <c r="I39" s="1">
        <v>1</v>
      </c>
    </row>
    <row r="40" spans="1:9" ht="14.65" thickBot="1" x14ac:dyDescent="0.5">
      <c r="A40" s="36" t="s">
        <v>146</v>
      </c>
      <c r="B40" s="167"/>
      <c r="C40" s="168"/>
      <c r="D40" s="168"/>
      <c r="E40" s="169"/>
      <c r="G40" s="1" t="b">
        <f t="shared" si="0"/>
        <v>1</v>
      </c>
      <c r="H40" s="1">
        <f t="shared" si="1"/>
        <v>0</v>
      </c>
      <c r="I40" s="1">
        <v>1</v>
      </c>
    </row>
    <row r="41" spans="1:9" ht="14.65" thickBot="1" x14ac:dyDescent="0.5"/>
    <row r="42" spans="1:9" ht="25.9" thickBot="1" x14ac:dyDescent="0.5">
      <c r="A42" s="134" t="s">
        <v>29</v>
      </c>
      <c r="B42" s="135"/>
      <c r="C42" s="135"/>
      <c r="D42" s="135"/>
      <c r="E42" s="136"/>
      <c r="G42" s="1">
        <f>IF(H42=0,0,IF(H42=I42,2,1))</f>
        <v>0</v>
      </c>
      <c r="H42" s="1">
        <f>SUM(H43:H55)</f>
        <v>0</v>
      </c>
      <c r="I42" s="1">
        <f>SUM(I43:I55)</f>
        <v>13</v>
      </c>
    </row>
    <row r="43" spans="1:9" x14ac:dyDescent="0.45">
      <c r="A43" s="162" t="s">
        <v>153</v>
      </c>
      <c r="B43" s="158"/>
      <c r="C43" s="158"/>
      <c r="D43" s="158"/>
      <c r="E43" s="159"/>
      <c r="G43" s="1" t="b">
        <f t="shared" si="0"/>
        <v>1</v>
      </c>
      <c r="H43" s="1">
        <f t="shared" si="1"/>
        <v>0</v>
      </c>
      <c r="I43" s="1">
        <v>1</v>
      </c>
    </row>
    <row r="44" spans="1:9" ht="33" customHeight="1" x14ac:dyDescent="0.45">
      <c r="A44" s="163"/>
      <c r="B44" s="160" t="s">
        <v>147</v>
      </c>
      <c r="C44" s="160" t="s">
        <v>148</v>
      </c>
      <c r="D44" s="160"/>
      <c r="E44" s="102"/>
      <c r="G44" s="1" t="b">
        <f>ISBLANK(E44)</f>
        <v>1</v>
      </c>
      <c r="H44" s="1">
        <f t="shared" si="1"/>
        <v>0</v>
      </c>
      <c r="I44" s="1">
        <v>1</v>
      </c>
    </row>
    <row r="45" spans="1:9" ht="33" customHeight="1" x14ac:dyDescent="0.45">
      <c r="A45" s="163"/>
      <c r="B45" s="160"/>
      <c r="C45" s="161" t="s">
        <v>149</v>
      </c>
      <c r="D45" s="161"/>
      <c r="E45" s="103"/>
      <c r="G45" s="1" t="b">
        <f>ISBLANK(E45)</f>
        <v>1</v>
      </c>
      <c r="H45" s="1">
        <f t="shared" si="1"/>
        <v>0</v>
      </c>
      <c r="I45" s="1">
        <v>1</v>
      </c>
    </row>
    <row r="46" spans="1:9" x14ac:dyDescent="0.45">
      <c r="A46" s="33" t="s">
        <v>154</v>
      </c>
      <c r="B46" s="131"/>
      <c r="C46" s="131"/>
      <c r="D46" s="131"/>
      <c r="E46" s="132"/>
      <c r="G46" s="1" t="b">
        <f t="shared" si="0"/>
        <v>1</v>
      </c>
      <c r="H46" s="1">
        <f t="shared" si="1"/>
        <v>0</v>
      </c>
      <c r="I46" s="1">
        <v>1</v>
      </c>
    </row>
    <row r="47" spans="1:9" x14ac:dyDescent="0.45">
      <c r="A47" s="31" t="s">
        <v>155</v>
      </c>
      <c r="B47" s="129"/>
      <c r="C47" s="129"/>
      <c r="D47" s="129"/>
      <c r="E47" s="130"/>
      <c r="G47" s="1" t="b">
        <f t="shared" si="0"/>
        <v>1</v>
      </c>
      <c r="H47" s="1">
        <f t="shared" si="1"/>
        <v>0</v>
      </c>
      <c r="I47" s="1">
        <v>1</v>
      </c>
    </row>
    <row r="48" spans="1:9" x14ac:dyDescent="0.45">
      <c r="A48" s="33" t="s">
        <v>150</v>
      </c>
      <c r="B48" s="131"/>
      <c r="C48" s="131"/>
      <c r="D48" s="131"/>
      <c r="E48" s="132"/>
      <c r="G48" s="1" t="b">
        <f t="shared" si="0"/>
        <v>1</v>
      </c>
      <c r="H48" s="1">
        <f t="shared" si="1"/>
        <v>0</v>
      </c>
      <c r="I48" s="1">
        <v>1</v>
      </c>
    </row>
    <row r="49" spans="1:9" x14ac:dyDescent="0.45">
      <c r="A49" s="31" t="s">
        <v>151</v>
      </c>
      <c r="B49" s="129"/>
      <c r="C49" s="129"/>
      <c r="D49" s="129"/>
      <c r="E49" s="130"/>
      <c r="G49" s="1" t="b">
        <f t="shared" si="0"/>
        <v>1</v>
      </c>
      <c r="H49" s="1">
        <f t="shared" si="1"/>
        <v>0</v>
      </c>
      <c r="I49" s="1">
        <v>1</v>
      </c>
    </row>
    <row r="50" spans="1:9" ht="28.5" x14ac:dyDescent="0.45">
      <c r="A50" s="33" t="s">
        <v>156</v>
      </c>
      <c r="B50" s="131"/>
      <c r="C50" s="131"/>
      <c r="D50" s="131"/>
      <c r="E50" s="132"/>
      <c r="G50" s="1" t="b">
        <f t="shared" si="0"/>
        <v>1</v>
      </c>
      <c r="H50" s="1">
        <f t="shared" si="1"/>
        <v>0</v>
      </c>
      <c r="I50" s="1">
        <v>1</v>
      </c>
    </row>
    <row r="51" spans="1:9" x14ac:dyDescent="0.45">
      <c r="A51" s="31" t="s">
        <v>152</v>
      </c>
      <c r="B51" s="129"/>
      <c r="C51" s="129"/>
      <c r="D51" s="129"/>
      <c r="E51" s="130"/>
      <c r="G51" s="1" t="b">
        <f t="shared" si="0"/>
        <v>1</v>
      </c>
      <c r="H51" s="1">
        <f t="shared" si="1"/>
        <v>0</v>
      </c>
      <c r="I51" s="1">
        <v>1</v>
      </c>
    </row>
    <row r="52" spans="1:9" x14ac:dyDescent="0.45">
      <c r="A52" s="33" t="s">
        <v>158</v>
      </c>
      <c r="B52" s="131"/>
      <c r="C52" s="131"/>
      <c r="D52" s="131"/>
      <c r="E52" s="132"/>
      <c r="G52" s="1" t="b">
        <f t="shared" si="0"/>
        <v>1</v>
      </c>
      <c r="H52" s="1">
        <f t="shared" si="1"/>
        <v>0</v>
      </c>
      <c r="I52" s="1">
        <v>1</v>
      </c>
    </row>
    <row r="53" spans="1:9" x14ac:dyDescent="0.45">
      <c r="A53" s="31" t="s">
        <v>157</v>
      </c>
      <c r="B53" s="129"/>
      <c r="C53" s="129"/>
      <c r="D53" s="129"/>
      <c r="E53" s="130"/>
      <c r="G53" s="1" t="b">
        <f t="shared" si="0"/>
        <v>1</v>
      </c>
      <c r="H53" s="1">
        <f t="shared" si="1"/>
        <v>0</v>
      </c>
      <c r="I53" s="1">
        <v>1</v>
      </c>
    </row>
    <row r="54" spans="1:9" x14ac:dyDescent="0.45">
      <c r="A54" s="33" t="s">
        <v>159</v>
      </c>
      <c r="B54" s="131"/>
      <c r="C54" s="131"/>
      <c r="D54" s="131"/>
      <c r="E54" s="132"/>
      <c r="G54" s="1" t="b">
        <f t="shared" si="0"/>
        <v>1</v>
      </c>
      <c r="H54" s="1">
        <f t="shared" si="1"/>
        <v>0</v>
      </c>
      <c r="I54" s="1">
        <v>1</v>
      </c>
    </row>
    <row r="55" spans="1:9" ht="14.65" thickBot="1" x14ac:dyDescent="0.5">
      <c r="A55" s="32" t="s">
        <v>160</v>
      </c>
      <c r="B55" s="137"/>
      <c r="C55" s="137"/>
      <c r="D55" s="137"/>
      <c r="E55" s="138"/>
      <c r="G55" s="1" t="b">
        <f t="shared" si="0"/>
        <v>1</v>
      </c>
      <c r="H55" s="1">
        <f t="shared" si="1"/>
        <v>0</v>
      </c>
      <c r="I55" s="1">
        <v>1</v>
      </c>
    </row>
    <row r="56" spans="1:9" ht="14.65" thickBot="1" x14ac:dyDescent="0.5"/>
    <row r="57" spans="1:9" ht="25.9" thickBot="1" x14ac:dyDescent="0.5">
      <c r="A57" s="134" t="s">
        <v>43</v>
      </c>
      <c r="B57" s="135"/>
      <c r="C57" s="135"/>
      <c r="D57" s="135"/>
      <c r="E57" s="136"/>
      <c r="G57" s="1">
        <f>IF(H57=0,0,IF(H57=I57,2,1))</f>
        <v>0</v>
      </c>
      <c r="H57" s="1">
        <f>SUM(H58:H76)</f>
        <v>0</v>
      </c>
      <c r="I57" s="1">
        <f>SUM(I58:I76)</f>
        <v>19</v>
      </c>
    </row>
    <row r="58" spans="1:9" x14ac:dyDescent="0.45">
      <c r="A58" s="37" t="s">
        <v>161</v>
      </c>
      <c r="B58" s="158"/>
      <c r="C58" s="158"/>
      <c r="D58" s="158"/>
      <c r="E58" s="159"/>
      <c r="G58" s="1" t="b">
        <f t="shared" si="0"/>
        <v>1</v>
      </c>
      <c r="H58" s="1">
        <f t="shared" si="1"/>
        <v>0</v>
      </c>
      <c r="I58" s="1">
        <v>1</v>
      </c>
    </row>
    <row r="59" spans="1:9" x14ac:dyDescent="0.45">
      <c r="A59" s="33" t="s">
        <v>162</v>
      </c>
      <c r="B59" s="131"/>
      <c r="C59" s="131"/>
      <c r="D59" s="131"/>
      <c r="E59" s="132"/>
      <c r="G59" s="1" t="b">
        <f t="shared" si="0"/>
        <v>1</v>
      </c>
      <c r="H59" s="1">
        <f t="shared" si="1"/>
        <v>0</v>
      </c>
      <c r="I59" s="1">
        <v>1</v>
      </c>
    </row>
    <row r="60" spans="1:9" x14ac:dyDescent="0.45">
      <c r="A60" s="31" t="s">
        <v>163</v>
      </c>
      <c r="B60" s="129"/>
      <c r="C60" s="129"/>
      <c r="D60" s="129"/>
      <c r="E60" s="130"/>
      <c r="G60" s="1" t="b">
        <f t="shared" si="0"/>
        <v>1</v>
      </c>
      <c r="H60" s="1">
        <f t="shared" si="1"/>
        <v>0</v>
      </c>
      <c r="I60" s="1">
        <v>1</v>
      </c>
    </row>
    <row r="61" spans="1:9" x14ac:dyDescent="0.45">
      <c r="A61" s="33" t="s">
        <v>164</v>
      </c>
      <c r="B61" s="131"/>
      <c r="C61" s="131"/>
      <c r="D61" s="131"/>
      <c r="E61" s="132"/>
      <c r="G61" s="1" t="b">
        <f t="shared" si="0"/>
        <v>1</v>
      </c>
      <c r="H61" s="1">
        <f t="shared" si="1"/>
        <v>0</v>
      </c>
      <c r="I61" s="1">
        <v>1</v>
      </c>
    </row>
    <row r="62" spans="1:9" x14ac:dyDescent="0.45">
      <c r="A62" s="31" t="s">
        <v>165</v>
      </c>
      <c r="B62" s="129"/>
      <c r="C62" s="129"/>
      <c r="D62" s="129"/>
      <c r="E62" s="130"/>
      <c r="G62" s="1" t="b">
        <f t="shared" si="0"/>
        <v>1</v>
      </c>
      <c r="H62" s="1">
        <f t="shared" si="1"/>
        <v>0</v>
      </c>
      <c r="I62" s="1">
        <v>1</v>
      </c>
    </row>
    <row r="63" spans="1:9" x14ac:dyDescent="0.45">
      <c r="A63" s="33" t="s">
        <v>309</v>
      </c>
      <c r="B63" s="131"/>
      <c r="C63" s="131"/>
      <c r="D63" s="131"/>
      <c r="E63" s="132"/>
      <c r="G63" s="1" t="b">
        <f t="shared" si="0"/>
        <v>1</v>
      </c>
      <c r="H63" s="1">
        <f t="shared" si="1"/>
        <v>0</v>
      </c>
      <c r="I63" s="1">
        <v>1</v>
      </c>
    </row>
    <row r="64" spans="1:9" x14ac:dyDescent="0.45">
      <c r="A64" s="31" t="s">
        <v>311</v>
      </c>
      <c r="B64" s="129"/>
      <c r="C64" s="129"/>
      <c r="D64" s="129"/>
      <c r="E64" s="130"/>
      <c r="G64" s="1" t="b">
        <f t="shared" si="0"/>
        <v>1</v>
      </c>
      <c r="H64" s="1">
        <f t="shared" si="1"/>
        <v>0</v>
      </c>
      <c r="I64" s="1">
        <v>1</v>
      </c>
    </row>
    <row r="65" spans="1:9" ht="33" customHeight="1" x14ac:dyDescent="0.45">
      <c r="A65" s="35" t="s">
        <v>166</v>
      </c>
      <c r="B65" s="131"/>
      <c r="C65" s="131"/>
      <c r="D65" s="131"/>
      <c r="E65" s="132"/>
      <c r="G65" s="1" t="b">
        <f t="shared" si="0"/>
        <v>1</v>
      </c>
      <c r="H65" s="1">
        <f t="shared" si="1"/>
        <v>0</v>
      </c>
      <c r="I65" s="1">
        <v>1</v>
      </c>
    </row>
    <row r="66" spans="1:9" ht="28.5" x14ac:dyDescent="0.45">
      <c r="A66" s="34" t="s">
        <v>167</v>
      </c>
      <c r="B66" s="129"/>
      <c r="C66" s="129"/>
      <c r="D66" s="129"/>
      <c r="E66" s="130"/>
      <c r="G66" s="1" t="b">
        <f t="shared" si="0"/>
        <v>1</v>
      </c>
      <c r="H66" s="1">
        <f t="shared" si="1"/>
        <v>0</v>
      </c>
      <c r="I66" s="1">
        <v>1</v>
      </c>
    </row>
    <row r="67" spans="1:9" x14ac:dyDescent="0.45">
      <c r="A67" s="33" t="s">
        <v>168</v>
      </c>
      <c r="B67" s="131"/>
      <c r="C67" s="131"/>
      <c r="D67" s="131"/>
      <c r="E67" s="132"/>
      <c r="G67" s="1" t="b">
        <f t="shared" ref="G67:G120" si="4">ISBLANK(B67)</f>
        <v>1</v>
      </c>
      <c r="H67" s="1">
        <f t="shared" ref="H67:H120" si="5">IF(G67=FALSE,1,0)</f>
        <v>0</v>
      </c>
      <c r="I67" s="1">
        <v>1</v>
      </c>
    </row>
    <row r="68" spans="1:9" ht="51.75" customHeight="1" x14ac:dyDescent="0.45">
      <c r="A68" s="163" t="s">
        <v>169</v>
      </c>
      <c r="B68" s="16" t="s">
        <v>171</v>
      </c>
      <c r="C68" s="129"/>
      <c r="D68" s="129"/>
      <c r="E68" s="130"/>
      <c r="G68" s="1" t="b">
        <f>ISBLANK(C68)</f>
        <v>1</v>
      </c>
      <c r="H68" s="1">
        <f t="shared" si="5"/>
        <v>0</v>
      </c>
      <c r="I68" s="1">
        <v>1</v>
      </c>
    </row>
    <row r="69" spans="1:9" x14ac:dyDescent="0.45">
      <c r="A69" s="163"/>
      <c r="B69" s="20" t="s">
        <v>172</v>
      </c>
      <c r="C69" s="131"/>
      <c r="D69" s="131"/>
      <c r="E69" s="132"/>
      <c r="G69" s="1" t="b">
        <f t="shared" ref="G69:G73" si="6">ISBLANK(C69)</f>
        <v>1</v>
      </c>
      <c r="H69" s="1">
        <f t="shared" si="5"/>
        <v>0</v>
      </c>
      <c r="I69" s="1">
        <v>1</v>
      </c>
    </row>
    <row r="70" spans="1:9" x14ac:dyDescent="0.45">
      <c r="A70" s="163"/>
      <c r="B70" s="16" t="s">
        <v>173</v>
      </c>
      <c r="C70" s="129"/>
      <c r="D70" s="129"/>
      <c r="E70" s="130"/>
      <c r="G70" s="1" t="b">
        <f t="shared" si="6"/>
        <v>1</v>
      </c>
      <c r="H70" s="1">
        <f t="shared" si="5"/>
        <v>0</v>
      </c>
      <c r="I70" s="1">
        <v>1</v>
      </c>
    </row>
    <row r="71" spans="1:9" ht="49.5" customHeight="1" x14ac:dyDescent="0.45">
      <c r="A71" s="148" t="s">
        <v>170</v>
      </c>
      <c r="B71" s="20" t="s">
        <v>171</v>
      </c>
      <c r="C71" s="131"/>
      <c r="D71" s="131"/>
      <c r="E71" s="132"/>
      <c r="G71" s="1" t="b">
        <f t="shared" si="6"/>
        <v>1</v>
      </c>
      <c r="H71" s="1">
        <f t="shared" si="5"/>
        <v>0</v>
      </c>
      <c r="I71" s="1">
        <v>1</v>
      </c>
    </row>
    <row r="72" spans="1:9" x14ac:dyDescent="0.45">
      <c r="A72" s="148"/>
      <c r="B72" s="16" t="s">
        <v>172</v>
      </c>
      <c r="C72" s="129"/>
      <c r="D72" s="129"/>
      <c r="E72" s="130"/>
      <c r="G72" s="1" t="b">
        <f t="shared" si="6"/>
        <v>1</v>
      </c>
      <c r="H72" s="1">
        <f t="shared" si="5"/>
        <v>0</v>
      </c>
      <c r="I72" s="1">
        <v>1</v>
      </c>
    </row>
    <row r="73" spans="1:9" x14ac:dyDescent="0.45">
      <c r="A73" s="148"/>
      <c r="B73" s="20" t="s">
        <v>173</v>
      </c>
      <c r="C73" s="131"/>
      <c r="D73" s="131"/>
      <c r="E73" s="132"/>
      <c r="G73" s="1" t="b">
        <f t="shared" si="6"/>
        <v>1</v>
      </c>
      <c r="H73" s="1">
        <f t="shared" si="5"/>
        <v>0</v>
      </c>
      <c r="I73" s="1">
        <v>1</v>
      </c>
    </row>
    <row r="74" spans="1:9" x14ac:dyDescent="0.45">
      <c r="A74" s="31" t="s">
        <v>174</v>
      </c>
      <c r="B74" s="129"/>
      <c r="C74" s="129"/>
      <c r="D74" s="129"/>
      <c r="E74" s="130"/>
      <c r="G74" s="1" t="b">
        <f t="shared" si="4"/>
        <v>1</v>
      </c>
      <c r="H74" s="1">
        <f t="shared" si="5"/>
        <v>0</v>
      </c>
      <c r="I74" s="1">
        <v>1</v>
      </c>
    </row>
    <row r="75" spans="1:9" x14ac:dyDescent="0.45">
      <c r="A75" s="33" t="s">
        <v>175</v>
      </c>
      <c r="B75" s="131"/>
      <c r="C75" s="131"/>
      <c r="D75" s="131"/>
      <c r="E75" s="132"/>
      <c r="G75" s="1" t="b">
        <f t="shared" si="4"/>
        <v>1</v>
      </c>
      <c r="H75" s="1">
        <f t="shared" si="5"/>
        <v>0</v>
      </c>
      <c r="I75" s="1">
        <v>1</v>
      </c>
    </row>
    <row r="76" spans="1:9" ht="14.65" thickBot="1" x14ac:dyDescent="0.5">
      <c r="A76" s="38" t="s">
        <v>210</v>
      </c>
      <c r="B76" s="137"/>
      <c r="C76" s="137"/>
      <c r="D76" s="137"/>
      <c r="E76" s="138"/>
      <c r="G76" s="1" t="b">
        <f t="shared" si="4"/>
        <v>1</v>
      </c>
      <c r="H76" s="1">
        <f t="shared" si="5"/>
        <v>0</v>
      </c>
      <c r="I76" s="1">
        <v>1</v>
      </c>
    </row>
    <row r="77" spans="1:9" ht="14.65" thickBot="1" x14ac:dyDescent="0.5"/>
    <row r="78" spans="1:9" ht="25.9" thickBot="1" x14ac:dyDescent="0.5">
      <c r="A78" s="134" t="s">
        <v>58</v>
      </c>
      <c r="B78" s="135"/>
      <c r="C78" s="135"/>
      <c r="D78" s="135"/>
      <c r="E78" s="136"/>
      <c r="G78" s="1">
        <f>IF(H78=0,0,IF(H78=I78,2,1))</f>
        <v>0</v>
      </c>
      <c r="H78" s="1">
        <f>SUM(H79:H89)</f>
        <v>0</v>
      </c>
      <c r="I78" s="1">
        <f>SUM(I79:I89)</f>
        <v>11</v>
      </c>
    </row>
    <row r="79" spans="1:9" ht="28.5" x14ac:dyDescent="0.45">
      <c r="A79" s="37" t="s">
        <v>176</v>
      </c>
      <c r="B79" s="158"/>
      <c r="C79" s="158"/>
      <c r="D79" s="158"/>
      <c r="E79" s="159"/>
      <c r="G79" s="1" t="b">
        <f t="shared" si="4"/>
        <v>1</v>
      </c>
      <c r="H79" s="1">
        <f t="shared" si="5"/>
        <v>0</v>
      </c>
      <c r="I79" s="1">
        <v>1</v>
      </c>
    </row>
    <row r="80" spans="1:9" ht="28.5" x14ac:dyDescent="0.45">
      <c r="A80" s="33" t="s">
        <v>177</v>
      </c>
      <c r="B80" s="131"/>
      <c r="C80" s="131"/>
      <c r="D80" s="131"/>
      <c r="E80" s="132"/>
      <c r="G80" s="1" t="b">
        <f t="shared" si="4"/>
        <v>1</v>
      </c>
      <c r="H80" s="1">
        <f t="shared" si="5"/>
        <v>0</v>
      </c>
      <c r="I80" s="1">
        <v>1</v>
      </c>
    </row>
    <row r="81" spans="1:9" ht="28.5" x14ac:dyDescent="0.45">
      <c r="A81" s="31" t="s">
        <v>328</v>
      </c>
      <c r="B81" s="129"/>
      <c r="C81" s="129"/>
      <c r="D81" s="129"/>
      <c r="E81" s="130"/>
      <c r="G81" s="1" t="b">
        <f t="shared" si="4"/>
        <v>1</v>
      </c>
      <c r="H81" s="1">
        <f t="shared" si="5"/>
        <v>0</v>
      </c>
      <c r="I81" s="1">
        <v>1</v>
      </c>
    </row>
    <row r="82" spans="1:9" ht="28.5" x14ac:dyDescent="0.45">
      <c r="A82" s="33" t="s">
        <v>178</v>
      </c>
      <c r="B82" s="131"/>
      <c r="C82" s="131"/>
      <c r="D82" s="131"/>
      <c r="E82" s="132"/>
      <c r="G82" s="1" t="b">
        <f t="shared" si="4"/>
        <v>1</v>
      </c>
      <c r="H82" s="1">
        <f t="shared" si="5"/>
        <v>0</v>
      </c>
      <c r="I82" s="1">
        <v>1</v>
      </c>
    </row>
    <row r="83" spans="1:9" ht="28.5" x14ac:dyDescent="0.45">
      <c r="A83" s="31" t="s">
        <v>179</v>
      </c>
      <c r="B83" s="129"/>
      <c r="C83" s="129"/>
      <c r="D83" s="129"/>
      <c r="E83" s="130"/>
      <c r="G83" s="1" t="b">
        <f t="shared" si="4"/>
        <v>1</v>
      </c>
      <c r="H83" s="1">
        <f t="shared" si="5"/>
        <v>0</v>
      </c>
      <c r="I83" s="1">
        <v>1</v>
      </c>
    </row>
    <row r="84" spans="1:9" ht="28.5" x14ac:dyDescent="0.45">
      <c r="A84" s="33" t="s">
        <v>180</v>
      </c>
      <c r="B84" s="131"/>
      <c r="C84" s="131"/>
      <c r="D84" s="131"/>
      <c r="E84" s="132"/>
      <c r="G84" s="1" t="b">
        <f t="shared" si="4"/>
        <v>1</v>
      </c>
      <c r="H84" s="1">
        <f t="shared" si="5"/>
        <v>0</v>
      </c>
      <c r="I84" s="1">
        <v>1</v>
      </c>
    </row>
    <row r="85" spans="1:9" ht="53.25" customHeight="1" x14ac:dyDescent="0.45">
      <c r="A85" s="31" t="s">
        <v>181</v>
      </c>
      <c r="B85" s="129"/>
      <c r="C85" s="129"/>
      <c r="D85" s="129"/>
      <c r="E85" s="130"/>
      <c r="G85" s="1" t="b">
        <f t="shared" si="4"/>
        <v>1</v>
      </c>
      <c r="H85" s="1">
        <f t="shared" si="5"/>
        <v>0</v>
      </c>
      <c r="I85" s="1">
        <v>1</v>
      </c>
    </row>
    <row r="86" spans="1:9" ht="28.5" x14ac:dyDescent="0.45">
      <c r="A86" s="33" t="s">
        <v>182</v>
      </c>
      <c r="B86" s="131"/>
      <c r="C86" s="131"/>
      <c r="D86" s="131"/>
      <c r="E86" s="132"/>
      <c r="G86" s="1" t="b">
        <f t="shared" si="4"/>
        <v>1</v>
      </c>
      <c r="H86" s="1">
        <f t="shared" si="5"/>
        <v>0</v>
      </c>
      <c r="I86" s="1">
        <v>1</v>
      </c>
    </row>
    <row r="87" spans="1:9" ht="28.5" x14ac:dyDescent="0.45">
      <c r="A87" s="31" t="s">
        <v>183</v>
      </c>
      <c r="B87" s="129"/>
      <c r="C87" s="129"/>
      <c r="D87" s="129"/>
      <c r="E87" s="130"/>
      <c r="G87" s="1" t="b">
        <f t="shared" si="4"/>
        <v>1</v>
      </c>
      <c r="H87" s="1">
        <f t="shared" si="5"/>
        <v>0</v>
      </c>
      <c r="I87" s="1">
        <v>1</v>
      </c>
    </row>
    <row r="88" spans="1:9" ht="33" customHeight="1" x14ac:dyDescent="0.45">
      <c r="A88" s="33" t="s">
        <v>184</v>
      </c>
      <c r="B88" s="131"/>
      <c r="C88" s="131"/>
      <c r="D88" s="131"/>
      <c r="E88" s="132"/>
      <c r="G88" s="1" t="b">
        <f t="shared" si="4"/>
        <v>1</v>
      </c>
      <c r="H88" s="1">
        <f t="shared" si="5"/>
        <v>0</v>
      </c>
      <c r="I88" s="1">
        <v>1</v>
      </c>
    </row>
    <row r="89" spans="1:9" ht="14.65" thickBot="1" x14ac:dyDescent="0.5">
      <c r="A89" s="32" t="s">
        <v>312</v>
      </c>
      <c r="B89" s="137"/>
      <c r="C89" s="137"/>
      <c r="D89" s="137"/>
      <c r="E89" s="138"/>
      <c r="G89" s="1" t="b">
        <f t="shared" si="4"/>
        <v>1</v>
      </c>
      <c r="H89" s="1">
        <f t="shared" si="5"/>
        <v>0</v>
      </c>
      <c r="I89" s="1">
        <v>1</v>
      </c>
    </row>
    <row r="90" spans="1:9" ht="14.65" collapsed="1" thickBot="1" x14ac:dyDescent="0.5"/>
    <row r="91" spans="1:9" ht="25.9" thickBot="1" x14ac:dyDescent="0.5">
      <c r="A91" s="134" t="s">
        <v>69</v>
      </c>
      <c r="B91" s="135"/>
      <c r="C91" s="135"/>
      <c r="D91" s="135"/>
      <c r="E91" s="136"/>
      <c r="G91" s="1">
        <f>IF(H91=0,0,IF(H91=I91,2,1))</f>
        <v>0</v>
      </c>
      <c r="H91" s="1">
        <f>SUM(H92:H100)</f>
        <v>0</v>
      </c>
      <c r="I91" s="1">
        <f>SUM(I92:I100)</f>
        <v>9</v>
      </c>
    </row>
    <row r="92" spans="1:9" x14ac:dyDescent="0.45">
      <c r="A92" s="37" t="s">
        <v>185</v>
      </c>
      <c r="B92" s="158"/>
      <c r="C92" s="158"/>
      <c r="D92" s="158"/>
      <c r="E92" s="159"/>
      <c r="G92" s="1" t="b">
        <f t="shared" si="4"/>
        <v>1</v>
      </c>
      <c r="H92" s="1">
        <f t="shared" si="5"/>
        <v>0</v>
      </c>
      <c r="I92" s="1">
        <v>1</v>
      </c>
    </row>
    <row r="93" spans="1:9" x14ac:dyDescent="0.45">
      <c r="A93" s="33" t="s">
        <v>186</v>
      </c>
      <c r="B93" s="131"/>
      <c r="C93" s="131"/>
      <c r="D93" s="131"/>
      <c r="E93" s="132"/>
      <c r="G93" s="1" t="b">
        <f t="shared" si="4"/>
        <v>1</v>
      </c>
      <c r="H93" s="1">
        <f t="shared" si="5"/>
        <v>0</v>
      </c>
      <c r="I93" s="1">
        <v>1</v>
      </c>
    </row>
    <row r="94" spans="1:9" x14ac:dyDescent="0.45">
      <c r="A94" s="31" t="s">
        <v>187</v>
      </c>
      <c r="B94" s="129"/>
      <c r="C94" s="129"/>
      <c r="D94" s="129"/>
      <c r="E94" s="130"/>
      <c r="G94" s="1" t="b">
        <f t="shared" si="4"/>
        <v>1</v>
      </c>
      <c r="H94" s="1">
        <f t="shared" si="5"/>
        <v>0</v>
      </c>
      <c r="I94" s="1">
        <v>1</v>
      </c>
    </row>
    <row r="95" spans="1:9" x14ac:dyDescent="0.45">
      <c r="A95" s="33" t="s">
        <v>188</v>
      </c>
      <c r="B95" s="131"/>
      <c r="C95" s="131"/>
      <c r="D95" s="131"/>
      <c r="E95" s="132"/>
      <c r="G95" s="1" t="b">
        <f t="shared" si="4"/>
        <v>1</v>
      </c>
      <c r="H95" s="1">
        <f t="shared" si="5"/>
        <v>0</v>
      </c>
      <c r="I95" s="1">
        <v>1</v>
      </c>
    </row>
    <row r="96" spans="1:9" x14ac:dyDescent="0.45">
      <c r="A96" s="31" t="s">
        <v>189</v>
      </c>
      <c r="B96" s="129"/>
      <c r="C96" s="129"/>
      <c r="D96" s="129"/>
      <c r="E96" s="130"/>
      <c r="G96" s="1" t="b">
        <f t="shared" si="4"/>
        <v>1</v>
      </c>
      <c r="H96" s="1">
        <f t="shared" si="5"/>
        <v>0</v>
      </c>
      <c r="I96" s="1">
        <v>1</v>
      </c>
    </row>
    <row r="97" spans="1:9" ht="28.5" customHeight="1" x14ac:dyDescent="0.45">
      <c r="A97" s="33" t="s">
        <v>190</v>
      </c>
      <c r="B97" s="131"/>
      <c r="C97" s="131"/>
      <c r="D97" s="131"/>
      <c r="E97" s="132"/>
      <c r="G97" s="1" t="b">
        <f t="shared" si="4"/>
        <v>1</v>
      </c>
      <c r="H97" s="1">
        <f t="shared" si="5"/>
        <v>0</v>
      </c>
      <c r="I97" s="1">
        <v>1</v>
      </c>
    </row>
    <row r="98" spans="1:9" x14ac:dyDescent="0.45">
      <c r="A98" s="31" t="s">
        <v>191</v>
      </c>
      <c r="B98" s="129"/>
      <c r="C98" s="129"/>
      <c r="D98" s="129"/>
      <c r="E98" s="130"/>
      <c r="G98" s="1" t="b">
        <f t="shared" si="4"/>
        <v>1</v>
      </c>
      <c r="H98" s="1">
        <f t="shared" si="5"/>
        <v>0</v>
      </c>
      <c r="I98" s="1">
        <v>1</v>
      </c>
    </row>
    <row r="99" spans="1:9" ht="18" customHeight="1" x14ac:dyDescent="0.45">
      <c r="A99" s="33" t="s">
        <v>192</v>
      </c>
      <c r="B99" s="131"/>
      <c r="C99" s="131"/>
      <c r="D99" s="131"/>
      <c r="E99" s="132"/>
      <c r="G99" s="1" t="b">
        <f t="shared" si="4"/>
        <v>1</v>
      </c>
      <c r="H99" s="1">
        <f t="shared" si="5"/>
        <v>0</v>
      </c>
      <c r="I99" s="1">
        <v>1</v>
      </c>
    </row>
    <row r="100" spans="1:9" ht="36.75" customHeight="1" thickBot="1" x14ac:dyDescent="0.5">
      <c r="A100" s="38" t="s">
        <v>193</v>
      </c>
      <c r="B100" s="137"/>
      <c r="C100" s="137"/>
      <c r="D100" s="137"/>
      <c r="E100" s="138"/>
      <c r="G100" s="1" t="b">
        <f t="shared" si="4"/>
        <v>1</v>
      </c>
      <c r="H100" s="1">
        <f t="shared" si="5"/>
        <v>0</v>
      </c>
      <c r="I100" s="1">
        <v>1</v>
      </c>
    </row>
    <row r="101" spans="1:9" ht="14.65" collapsed="1" thickBot="1" x14ac:dyDescent="0.5"/>
    <row r="102" spans="1:9" ht="25.9" thickBot="1" x14ac:dyDescent="0.5">
      <c r="A102" s="134" t="s">
        <v>81</v>
      </c>
      <c r="B102" s="135"/>
      <c r="C102" s="135"/>
      <c r="D102" s="135"/>
      <c r="E102" s="136"/>
      <c r="G102" s="1">
        <f>IF(H102=0,0,IF(H102=I102,2,1))</f>
        <v>0</v>
      </c>
      <c r="H102" s="1">
        <f>SUM(H103:H120)</f>
        <v>0</v>
      </c>
      <c r="I102" s="1">
        <f>SUM(I103:I120)</f>
        <v>18</v>
      </c>
    </row>
    <row r="103" spans="1:9" x14ac:dyDescent="0.45">
      <c r="A103" s="37" t="s">
        <v>194</v>
      </c>
      <c r="B103" s="158"/>
      <c r="C103" s="158"/>
      <c r="D103" s="158"/>
      <c r="E103" s="159"/>
      <c r="G103" s="1" t="b">
        <f t="shared" si="4"/>
        <v>1</v>
      </c>
      <c r="H103" s="1">
        <f t="shared" si="5"/>
        <v>0</v>
      </c>
      <c r="I103" s="1">
        <v>1</v>
      </c>
    </row>
    <row r="104" spans="1:9" x14ac:dyDescent="0.45">
      <c r="A104" s="33" t="s">
        <v>195</v>
      </c>
      <c r="B104" s="131"/>
      <c r="C104" s="131"/>
      <c r="D104" s="131"/>
      <c r="E104" s="132"/>
      <c r="G104" s="1" t="b">
        <f t="shared" si="4"/>
        <v>1</v>
      </c>
      <c r="H104" s="1">
        <f t="shared" si="5"/>
        <v>0</v>
      </c>
      <c r="I104" s="1">
        <v>1</v>
      </c>
    </row>
    <row r="105" spans="1:9" x14ac:dyDescent="0.45">
      <c r="A105" s="31" t="s">
        <v>196</v>
      </c>
      <c r="B105" s="129"/>
      <c r="C105" s="129"/>
      <c r="D105" s="129"/>
      <c r="E105" s="130"/>
      <c r="G105" s="1" t="b">
        <f t="shared" si="4"/>
        <v>1</v>
      </c>
      <c r="H105" s="1">
        <f t="shared" si="5"/>
        <v>0</v>
      </c>
      <c r="I105" s="1">
        <v>1</v>
      </c>
    </row>
    <row r="106" spans="1:9" x14ac:dyDescent="0.45">
      <c r="A106" s="33" t="s">
        <v>197</v>
      </c>
      <c r="B106" s="131"/>
      <c r="C106" s="131"/>
      <c r="D106" s="131"/>
      <c r="E106" s="132"/>
      <c r="G106" s="1" t="b">
        <f t="shared" si="4"/>
        <v>1</v>
      </c>
      <c r="H106" s="1">
        <f t="shared" si="5"/>
        <v>0</v>
      </c>
      <c r="I106" s="1">
        <v>1</v>
      </c>
    </row>
    <row r="107" spans="1:9" x14ac:dyDescent="0.45">
      <c r="A107" s="31" t="s">
        <v>198</v>
      </c>
      <c r="B107" s="172"/>
      <c r="C107" s="129"/>
      <c r="D107" s="129"/>
      <c r="E107" s="130"/>
      <c r="G107" s="1" t="b">
        <f t="shared" si="4"/>
        <v>1</v>
      </c>
      <c r="H107" s="1">
        <f t="shared" si="5"/>
        <v>0</v>
      </c>
      <c r="I107" s="1">
        <v>1</v>
      </c>
    </row>
    <row r="108" spans="1:9" ht="28.5" x14ac:dyDescent="0.45">
      <c r="A108" s="33" t="s">
        <v>315</v>
      </c>
      <c r="B108" s="131"/>
      <c r="C108" s="131"/>
      <c r="D108" s="131"/>
      <c r="E108" s="132"/>
      <c r="G108" s="1" t="b">
        <f t="shared" si="4"/>
        <v>1</v>
      </c>
      <c r="H108" s="1">
        <f t="shared" si="5"/>
        <v>0</v>
      </c>
      <c r="I108" s="1">
        <v>1</v>
      </c>
    </row>
    <row r="109" spans="1:9" x14ac:dyDescent="0.45">
      <c r="A109" s="31" t="s">
        <v>199</v>
      </c>
      <c r="B109" s="129"/>
      <c r="C109" s="129"/>
      <c r="D109" s="129"/>
      <c r="E109" s="130"/>
      <c r="G109" s="1" t="b">
        <f t="shared" si="4"/>
        <v>1</v>
      </c>
      <c r="H109" s="1">
        <f t="shared" si="5"/>
        <v>0</v>
      </c>
      <c r="I109" s="1">
        <v>1</v>
      </c>
    </row>
    <row r="110" spans="1:9" x14ac:dyDescent="0.45">
      <c r="A110" s="33" t="s">
        <v>200</v>
      </c>
      <c r="B110" s="131"/>
      <c r="C110" s="131"/>
      <c r="D110" s="131"/>
      <c r="E110" s="132"/>
      <c r="G110" s="1" t="b">
        <f t="shared" si="4"/>
        <v>1</v>
      </c>
      <c r="H110" s="1">
        <f t="shared" si="5"/>
        <v>0</v>
      </c>
      <c r="I110" s="1">
        <v>1</v>
      </c>
    </row>
    <row r="111" spans="1:9" x14ac:dyDescent="0.45">
      <c r="A111" s="31" t="s">
        <v>201</v>
      </c>
      <c r="B111" s="129"/>
      <c r="C111" s="129"/>
      <c r="D111" s="129"/>
      <c r="E111" s="130"/>
      <c r="G111" s="1" t="b">
        <f t="shared" si="4"/>
        <v>1</v>
      </c>
      <c r="H111" s="1">
        <f t="shared" si="5"/>
        <v>0</v>
      </c>
      <c r="I111" s="1">
        <v>1</v>
      </c>
    </row>
    <row r="112" spans="1:9" x14ac:dyDescent="0.45">
      <c r="A112" s="33" t="s">
        <v>202</v>
      </c>
      <c r="B112" s="131"/>
      <c r="C112" s="131"/>
      <c r="D112" s="131"/>
      <c r="E112" s="132"/>
      <c r="G112" s="1" t="b">
        <f t="shared" si="4"/>
        <v>1</v>
      </c>
      <c r="H112" s="1">
        <f t="shared" si="5"/>
        <v>0</v>
      </c>
      <c r="I112" s="1">
        <v>1</v>
      </c>
    </row>
    <row r="113" spans="1:9" ht="33.75" customHeight="1" x14ac:dyDescent="0.45">
      <c r="A113" s="31" t="s">
        <v>203</v>
      </c>
      <c r="B113" s="129"/>
      <c r="C113" s="129"/>
      <c r="D113" s="129"/>
      <c r="E113" s="130"/>
      <c r="G113" s="1" t="b">
        <f t="shared" si="4"/>
        <v>1</v>
      </c>
      <c r="H113" s="1">
        <f t="shared" si="5"/>
        <v>0</v>
      </c>
      <c r="I113" s="1">
        <v>1</v>
      </c>
    </row>
    <row r="114" spans="1:9" x14ac:dyDescent="0.45">
      <c r="A114" s="33" t="s">
        <v>204</v>
      </c>
      <c r="B114" s="131"/>
      <c r="C114" s="131"/>
      <c r="D114" s="131"/>
      <c r="E114" s="132"/>
      <c r="G114" s="1" t="b">
        <f t="shared" si="4"/>
        <v>1</v>
      </c>
      <c r="H114" s="1">
        <f t="shared" si="5"/>
        <v>0</v>
      </c>
      <c r="I114" s="1">
        <v>1</v>
      </c>
    </row>
    <row r="115" spans="1:9" x14ac:dyDescent="0.45">
      <c r="A115" s="31" t="s">
        <v>205</v>
      </c>
      <c r="B115" s="129"/>
      <c r="C115" s="129"/>
      <c r="D115" s="129"/>
      <c r="E115" s="130"/>
      <c r="G115" s="1" t="b">
        <f t="shared" si="4"/>
        <v>1</v>
      </c>
      <c r="H115" s="1">
        <f t="shared" si="5"/>
        <v>0</v>
      </c>
      <c r="I115" s="1">
        <v>1</v>
      </c>
    </row>
    <row r="116" spans="1:9" ht="28.5" x14ac:dyDescent="0.45">
      <c r="A116" s="33" t="s">
        <v>206</v>
      </c>
      <c r="B116" s="131"/>
      <c r="C116" s="131"/>
      <c r="D116" s="131"/>
      <c r="E116" s="132"/>
      <c r="G116" s="1" t="b">
        <f t="shared" si="4"/>
        <v>1</v>
      </c>
      <c r="H116" s="1">
        <f t="shared" si="5"/>
        <v>0</v>
      </c>
      <c r="I116" s="1">
        <v>1</v>
      </c>
    </row>
    <row r="117" spans="1:9" ht="28.5" x14ac:dyDescent="0.45">
      <c r="A117" s="31" t="s">
        <v>207</v>
      </c>
      <c r="B117" s="129"/>
      <c r="C117" s="129"/>
      <c r="D117" s="129"/>
      <c r="E117" s="130"/>
      <c r="G117" s="1" t="b">
        <f t="shared" si="4"/>
        <v>1</v>
      </c>
      <c r="H117" s="1">
        <f t="shared" si="5"/>
        <v>0</v>
      </c>
      <c r="I117" s="1">
        <v>1</v>
      </c>
    </row>
    <row r="118" spans="1:9" x14ac:dyDescent="0.45">
      <c r="A118" s="33" t="s">
        <v>317</v>
      </c>
      <c r="B118" s="131"/>
      <c r="C118" s="131"/>
      <c r="D118" s="131"/>
      <c r="E118" s="132"/>
      <c r="G118" s="1" t="b">
        <f t="shared" si="4"/>
        <v>1</v>
      </c>
      <c r="H118" s="1">
        <f t="shared" si="5"/>
        <v>0</v>
      </c>
      <c r="I118" s="1">
        <v>1</v>
      </c>
    </row>
    <row r="119" spans="1:9" x14ac:dyDescent="0.45">
      <c r="A119" s="31" t="s">
        <v>208</v>
      </c>
      <c r="B119" s="129"/>
      <c r="C119" s="129"/>
      <c r="D119" s="129"/>
      <c r="E119" s="130"/>
      <c r="G119" s="1" t="b">
        <f t="shared" si="4"/>
        <v>1</v>
      </c>
      <c r="H119" s="1">
        <f t="shared" si="5"/>
        <v>0</v>
      </c>
      <c r="I119" s="1">
        <v>1</v>
      </c>
    </row>
    <row r="120" spans="1:9" ht="14.65" thickBot="1" x14ac:dyDescent="0.5">
      <c r="A120" s="36" t="s">
        <v>209</v>
      </c>
      <c r="B120" s="170"/>
      <c r="C120" s="170"/>
      <c r="D120" s="170"/>
      <c r="E120" s="171"/>
      <c r="G120" s="1" t="b">
        <f t="shared" si="4"/>
        <v>1</v>
      </c>
      <c r="H120" s="1">
        <f t="shared" si="5"/>
        <v>0</v>
      </c>
      <c r="I120" s="1">
        <v>1</v>
      </c>
    </row>
  </sheetData>
  <sheetProtection password="CC95" sheet="1" objects="1" scenarios="1"/>
  <mergeCells count="119">
    <mergeCell ref="B120:E120"/>
    <mergeCell ref="B76:E76"/>
    <mergeCell ref="B115:E115"/>
    <mergeCell ref="B116:E116"/>
    <mergeCell ref="B117:E117"/>
    <mergeCell ref="B118:E118"/>
    <mergeCell ref="B119:E119"/>
    <mergeCell ref="B110:E110"/>
    <mergeCell ref="B111:E111"/>
    <mergeCell ref="B112:E112"/>
    <mergeCell ref="B113:E113"/>
    <mergeCell ref="B114:E114"/>
    <mergeCell ref="B104:E104"/>
    <mergeCell ref="B105:E105"/>
    <mergeCell ref="B106:E106"/>
    <mergeCell ref="B107:E107"/>
    <mergeCell ref="B109:E109"/>
    <mergeCell ref="B108:E108"/>
    <mergeCell ref="B98:E98"/>
    <mergeCell ref="B99:E99"/>
    <mergeCell ref="B100:E100"/>
    <mergeCell ref="A102:E102"/>
    <mergeCell ref="B103:E103"/>
    <mergeCell ref="B92:E92"/>
    <mergeCell ref="B93:E93"/>
    <mergeCell ref="B94:E94"/>
    <mergeCell ref="B95:E95"/>
    <mergeCell ref="B96:E96"/>
    <mergeCell ref="B97:E97"/>
    <mergeCell ref="B74:E74"/>
    <mergeCell ref="B75:E75"/>
    <mergeCell ref="A78:E78"/>
    <mergeCell ref="B79:E79"/>
    <mergeCell ref="B80:E80"/>
    <mergeCell ref="B81:E81"/>
    <mergeCell ref="B82:E82"/>
    <mergeCell ref="B83:E83"/>
    <mergeCell ref="B84:E84"/>
    <mergeCell ref="B85:E85"/>
    <mergeCell ref="B88:E88"/>
    <mergeCell ref="B87:E87"/>
    <mergeCell ref="B86:E86"/>
    <mergeCell ref="A91:E91"/>
    <mergeCell ref="B89:E89"/>
    <mergeCell ref="B67:E67"/>
    <mergeCell ref="A68:A70"/>
    <mergeCell ref="A71:A73"/>
    <mergeCell ref="C68:E68"/>
    <mergeCell ref="C69:E69"/>
    <mergeCell ref="C70:E70"/>
    <mergeCell ref="C71:E71"/>
    <mergeCell ref="C72:E72"/>
    <mergeCell ref="C73:E73"/>
    <mergeCell ref="B62:E62"/>
    <mergeCell ref="B63:E63"/>
    <mergeCell ref="B64:E64"/>
    <mergeCell ref="B65:E65"/>
    <mergeCell ref="B66:E66"/>
    <mergeCell ref="A57:E57"/>
    <mergeCell ref="B58:E58"/>
    <mergeCell ref="B59:E59"/>
    <mergeCell ref="B60:E60"/>
    <mergeCell ref="B61:E61"/>
    <mergeCell ref="B51:E51"/>
    <mergeCell ref="B52:E52"/>
    <mergeCell ref="B53:E53"/>
    <mergeCell ref="B54:E54"/>
    <mergeCell ref="B55:E55"/>
    <mergeCell ref="B46:E46"/>
    <mergeCell ref="B47:E47"/>
    <mergeCell ref="B48:E48"/>
    <mergeCell ref="B49:E49"/>
    <mergeCell ref="B50:E50"/>
    <mergeCell ref="B43:E43"/>
    <mergeCell ref="C44:D44"/>
    <mergeCell ref="C45:D45"/>
    <mergeCell ref="B44:B45"/>
    <mergeCell ref="A43:A45"/>
    <mergeCell ref="B37:E37"/>
    <mergeCell ref="B38:E38"/>
    <mergeCell ref="B39:E39"/>
    <mergeCell ref="B40:E40"/>
    <mergeCell ref="A42:E42"/>
    <mergeCell ref="A33:A36"/>
    <mergeCell ref="B28:E28"/>
    <mergeCell ref="B29:E29"/>
    <mergeCell ref="B30:E30"/>
    <mergeCell ref="B31:E31"/>
    <mergeCell ref="B32:E32"/>
    <mergeCell ref="C33:E33"/>
    <mergeCell ref="C34:E34"/>
    <mergeCell ref="C35:E35"/>
    <mergeCell ref="C36:E36"/>
    <mergeCell ref="B9:E9"/>
    <mergeCell ref="B10:E10"/>
    <mergeCell ref="B11:E11"/>
    <mergeCell ref="B12:E12"/>
    <mergeCell ref="A1:E1"/>
    <mergeCell ref="A8:E8"/>
    <mergeCell ref="B2:E2"/>
    <mergeCell ref="B3:E3"/>
    <mergeCell ref="B4:E4"/>
    <mergeCell ref="B5:E5"/>
    <mergeCell ref="B6:E6"/>
    <mergeCell ref="B13:E13"/>
    <mergeCell ref="B14:E14"/>
    <mergeCell ref="B15:E15"/>
    <mergeCell ref="B16:E16"/>
    <mergeCell ref="C17:E17"/>
    <mergeCell ref="C18:E18"/>
    <mergeCell ref="A17:A23"/>
    <mergeCell ref="A27:E27"/>
    <mergeCell ref="C19:E19"/>
    <mergeCell ref="C20:E20"/>
    <mergeCell ref="C21:E21"/>
    <mergeCell ref="C22:E22"/>
    <mergeCell ref="C23:E23"/>
    <mergeCell ref="B24:E24"/>
    <mergeCell ref="B25:E25"/>
  </mergeCells>
  <conditionalFormatting sqref="A1">
    <cfRule type="expression" dxfId="23" priority="26">
      <formula>$G$1=0</formula>
    </cfRule>
  </conditionalFormatting>
  <conditionalFormatting sqref="A8:E8">
    <cfRule type="expression" dxfId="22" priority="19">
      <formula>$G$8=2</formula>
    </cfRule>
    <cfRule type="expression" dxfId="21" priority="20">
      <formula>$G$8=1</formula>
    </cfRule>
    <cfRule type="expression" dxfId="20" priority="25">
      <formula>$G$8=0</formula>
    </cfRule>
  </conditionalFormatting>
  <conditionalFormatting sqref="A1:E1">
    <cfRule type="expression" dxfId="19" priority="21">
      <formula>$G$1=2</formula>
    </cfRule>
    <cfRule type="expression" dxfId="18" priority="22">
      <formula>$G$1=1</formula>
    </cfRule>
  </conditionalFormatting>
  <conditionalFormatting sqref="A27:E27">
    <cfRule type="expression" dxfId="17" priority="16">
      <formula>$G$27=2</formula>
    </cfRule>
    <cfRule type="expression" dxfId="16" priority="17">
      <formula>$G$27=1</formula>
    </cfRule>
    <cfRule type="expression" dxfId="15" priority="18">
      <formula>$G$27=0</formula>
    </cfRule>
  </conditionalFormatting>
  <conditionalFormatting sqref="A42:E42">
    <cfRule type="expression" dxfId="14" priority="13">
      <formula>$G$42=2</formula>
    </cfRule>
    <cfRule type="expression" dxfId="13" priority="14">
      <formula>$G$42=1</formula>
    </cfRule>
    <cfRule type="expression" dxfId="12" priority="15">
      <formula>$G$42=0</formula>
    </cfRule>
  </conditionalFormatting>
  <conditionalFormatting sqref="A57:E57">
    <cfRule type="expression" dxfId="11" priority="10">
      <formula>$G$57=2</formula>
    </cfRule>
    <cfRule type="expression" dxfId="10" priority="11">
      <formula>$G$57=1</formula>
    </cfRule>
    <cfRule type="expression" dxfId="9" priority="12">
      <formula>$G$57=0</formula>
    </cfRule>
  </conditionalFormatting>
  <conditionalFormatting sqref="A78:E78">
    <cfRule type="expression" dxfId="8" priority="7">
      <formula>$G$78=2</formula>
    </cfRule>
    <cfRule type="expression" dxfId="7" priority="8">
      <formula>$G$78=1</formula>
    </cfRule>
    <cfRule type="expression" dxfId="6" priority="9">
      <formula>$G$78=0</formula>
    </cfRule>
  </conditionalFormatting>
  <conditionalFormatting sqref="A91:E91">
    <cfRule type="expression" dxfId="5" priority="4">
      <formula>$G$91=2</formula>
    </cfRule>
    <cfRule type="expression" dxfId="4" priority="5">
      <formula>$G$91=1</formula>
    </cfRule>
    <cfRule type="expression" dxfId="3" priority="6">
      <formula>$G$91=0</formula>
    </cfRule>
  </conditionalFormatting>
  <conditionalFormatting sqref="A102:E102">
    <cfRule type="expression" dxfId="2" priority="1">
      <formula>$G$102=2</formula>
    </cfRule>
    <cfRule type="expression" dxfId="1" priority="2">
      <formula>$G$102=1</formula>
    </cfRule>
    <cfRule type="expression" dxfId="0" priority="3">
      <formula>$G$102=0</formula>
    </cfRule>
  </conditionalFormatting>
  <dataValidations count="41">
    <dataValidation type="list" allowBlank="1" showInputMessage="1" showErrorMessage="1" sqref="B15">
      <formula1>"Aucune,Quelques élèves,Une classe,Plusieurs classes,Toutes les classes"</formula1>
    </dataValidation>
    <dataValidation type="list" allowBlank="1" showInputMessage="1" showErrorMessage="1" sqref="B16:E16">
      <formula1>"Aucune,Quelques enseignants,Tous les enseignants"</formula1>
    </dataValidation>
    <dataValidation type="list" allowBlank="1" showInputMessage="1" showErrorMessage="1" sqref="B116:E116 B118:E118 C33:C36 E44:E45 B100:E100 C17:C23">
      <formula1>"Non,Oui"</formula1>
    </dataValidation>
    <dataValidation type="list" allowBlank="1" showInputMessage="1" showErrorMessage="1" sqref="B24">
      <mc:AlternateContent xmlns:x12ac="http://schemas.microsoft.com/office/spreadsheetml/2011/1/ac" xmlns:mc="http://schemas.openxmlformats.org/markup-compatibility/2006">
        <mc:Choice Requires="x12ac">
          <x12ac:list>Non,"Oui, insuffisamment",Oui</x12ac:list>
        </mc:Choice>
        <mc:Fallback>
          <formula1>"Non,Oui, insuffisamment,Oui"</formula1>
        </mc:Fallback>
      </mc:AlternateContent>
    </dataValidation>
    <dataValidation type="list" allowBlank="1" showInputMessage="1" showErrorMessage="1" sqref="B29:E29">
      <formula1>"Moins de 2 Mbit/s,Strictement plus de 2 et moins de 10 Mbit/s,Strictement plus de 10 Mbit/s"</formula1>
    </dataValidation>
    <dataValidation type="list" allowBlank="1" showInputMessage="1" showErrorMessage="1" sqref="B30:E30">
      <formula1>"Moins de 100 Mbit/s,Strictement plus de 100 et moins de 1000 Mbit/s,Strictement plus de 1000 Mbit/s"</formula1>
    </dataValidation>
    <dataValidation type="list" allowBlank="1" showInputMessage="1" showErrorMessage="1" sqref="B31:E31 B39:E39">
      <formula1>"Insuffisante,Suffisante"</formula1>
    </dataValidation>
    <dataValidation type="list" allowBlank="1" showInputMessage="1" showErrorMessage="1" sqref="B32:E32">
      <formula1>"Non réalisée,Insuffisante,Suffisante"</formula1>
    </dataValidation>
    <dataValidation type="list" allowBlank="1" showInputMessage="1" showErrorMessage="1" sqref="B37:E37">
      <formula1>"Aucun,Strictement moins d'un quart,Entre un quart et la moitié,Strictement plus de la moitié"</formula1>
    </dataValidation>
    <dataValidation type="list" allowBlank="1" showInputMessage="1" showErrorMessage="1" sqref="B40:E40">
      <mc:AlternateContent xmlns:x12ac="http://schemas.microsoft.com/office/spreadsheetml/2011/1/ac" xmlns:mc="http://schemas.openxmlformats.org/markup-compatibility/2006">
        <mc:Choice Requires="x12ac">
          <x12ac:list>Non," Oui, partiellement","Oui, suffisamment et en libre accès"</x12ac:list>
        </mc:Choice>
        <mc:Fallback>
          <formula1>"Non, Oui, partiellement,Oui, suffisamment et en libre accès"</formula1>
        </mc:Fallback>
      </mc:AlternateContent>
    </dataValidation>
    <dataValidation type="list" allowBlank="1" showInputMessage="1" showErrorMessage="1" sqref="B43 B51:E53 B58:E58 B62:E62 B64:E65 B67:E67 C68:E73 B80:E81 B87:E87 B75:E75">
      <formula1>"Non, Oui"</formula1>
    </dataValidation>
    <dataValidation type="list" allowBlank="1" showInputMessage="1" showErrorMessage="1" sqref="B46:E46">
      <formula1>"Aucun,Hébergé à l'extérieur (hors ENT) chez un hébergeur privé, Hébergé dans l'établissement ou sur des serveurs académiques,Intégré à l'ENT (pages publiques réalisées dans l'ENT)"</formula1>
    </dataValidation>
    <dataValidation type="list" allowBlank="1" showInputMessage="1" showErrorMessage="1" sqref="B47:E47">
      <formula1>"Éditeur privé, Services fournis par le MENESR, Intégrés à l'ENT"</formula1>
    </dataValidation>
    <dataValidation type="list" allowBlank="1" showInputMessage="1" showErrorMessage="1" sqref="B48:E48">
      <mc:AlternateContent xmlns:x12ac="http://schemas.microsoft.com/office/spreadsheetml/2011/1/ac" xmlns:mc="http://schemas.openxmlformats.org/markup-compatibility/2006">
        <mc:Choice Requires="x12ac">
          <x12ac:list>Non,"Oui, partiellement",Oui</x12ac:list>
        </mc:Choice>
        <mc:Fallback>
          <formula1>"Non,Oui, partiellement,Oui"</formula1>
        </mc:Fallback>
      </mc:AlternateContent>
    </dataValidation>
    <dataValidation type="list" allowBlank="1" showInputMessage="1" showErrorMessage="1" sqref="B49:E49">
      <formula1>"Pas de messagerie interne, Intégrée dans le réseau pédagogique local ou via des outils dédiés, Intégrée à l'ENT"</formula1>
    </dataValidation>
    <dataValidation type="list" allowBlank="1" showInputMessage="1" showErrorMessage="1" sqref="B50:E50">
      <formula1>"Réservé à l'équipe pédagogique et de direction, Ouvert à la communauté éducative"</formula1>
    </dataValidation>
    <dataValidation type="list" allowBlank="1" showInputMessage="1" showErrorMessage="1" sqref="B54:E54">
      <formula1>"0,Entre 1 et 4, Entre 5 et 9, Plus de 10"</formula1>
    </dataValidation>
    <dataValidation type="list" allowBlank="1" showInputMessage="1" showErrorMessage="1" sqref="B55:E55">
      <formula1>"Strictement moins de 10% des ressources sont numériques,Plus de 10% et strictement moins de 25% des ressources sont numériques,Plus de 25% et strictement moins de 50% des ressources sont numériques, 50% ou plus des ressources sont numériques"</formula1>
    </dataValidation>
    <dataValidation type="list" allowBlank="1" showInputMessage="1" showErrorMessage="1" sqref="B59:E59">
      <mc:AlternateContent xmlns:x12ac="http://schemas.microsoft.com/office/spreadsheetml/2011/1/ac" xmlns:mc="http://schemas.openxmlformats.org/markup-compatibility/2006">
        <mc:Choice Requires="x12ac">
          <x12ac:list>Non," Oui, signée par une partie des usagers"," Oui, signée par tous les usagers"</x12ac:list>
        </mc:Choice>
        <mc:Fallback>
          <formula1>"Non, Oui, signée par une partie des usagers, Oui, signée par tous les usagers"</formula1>
        </mc:Fallback>
      </mc:AlternateContent>
    </dataValidation>
    <dataValidation type="list" allowBlank="1" showInputMessage="1" showErrorMessage="1" sqref="B60:E60">
      <formula1>"Non, Réunion annuelle, Réunion pluriannuelle"</formula1>
    </dataValidation>
    <dataValidation type="list" allowBlank="1" showInputMessage="1" showErrorMessage="1" sqref="B61">
      <mc:AlternateContent xmlns:x12ac="http://schemas.microsoft.com/office/spreadsheetml/2011/1/ac" xmlns:mc="http://schemas.openxmlformats.org/markup-compatibility/2006">
        <mc:Choice Requires="x12ac">
          <x12ac:list>Non," Oui, entre autres missions ""numériques"""," Oui, uniquement"</x12ac:list>
        </mc:Choice>
        <mc:Fallback>
          <formula1>"Non, Oui, entre autres missions ""numériques"", Oui, uniquement"</formula1>
        </mc:Fallback>
      </mc:AlternateContent>
    </dataValidation>
    <dataValidation type="list" allowBlank="1" showInputMessage="1" showErrorMessage="1" sqref="B63:E63">
      <formula1>"Non, En projet, Partiellement mise en place, Totalement mise en place"</formula1>
    </dataValidation>
    <dataValidation type="list" allowBlank="1" showInputMessage="1" showErrorMessage="1" sqref="B66:E66">
      <formula1>"Non, Ordinateurs portables et tablettes"</formula1>
    </dataValidation>
    <dataValidation type="list" allowBlank="1" showInputMessage="1" showErrorMessage="1" sqref="B74:E74">
      <mc:AlternateContent xmlns:x12ac="http://schemas.microsoft.com/office/spreadsheetml/2011/1/ac" xmlns:mc="http://schemas.openxmlformats.org/markup-compatibility/2006">
        <mc:Choice Requires="x12ac">
          <x12ac:list>Non," Oui, suivi global"," Oui, suivi fin"</x12ac:list>
        </mc:Choice>
        <mc:Fallback>
          <formula1>"Non, Oui, suivi global, Oui, suivi fin"</formula1>
        </mc:Fallback>
      </mc:AlternateContent>
    </dataValidation>
    <dataValidation type="list" allowBlank="1" showInputMessage="1" showErrorMessage="1" sqref="B79:E79">
      <mc:AlternateContent xmlns:x12ac="http://schemas.microsoft.com/office/spreadsheetml/2011/1/ac" xmlns:mc="http://schemas.openxmlformats.org/markup-compatibility/2006">
        <mc:Choice Requires="x12ac">
          <x12ac:list>Non," Oui, à l'utilisation d'outils numériques ou aux usages du numérique"," Oui, aux aspects juridiques du numérique"," Oui, aux deux aspects"</x12ac:list>
        </mc:Choice>
        <mc:Fallback>
          <formula1>"Non, Oui, à l'utilisation d'outils numériques ou aux usages du numérique, Oui, aux aspects juridiques du numérique, Oui, aux deux aspects"</formula1>
        </mc:Fallback>
      </mc:AlternateContent>
    </dataValidation>
    <dataValidation type="list" allowBlank="1" showInputMessage="1" showErrorMessage="1" sqref="B82:E83 B85:E85 B88:E89">
      <formula1>"Non, Au moins une fois au cours des trois dernières années, Au moins une fois par an, Au moins deux fois par an"</formula1>
    </dataValidation>
    <dataValidation type="list" allowBlank="1" showInputMessage="1" showErrorMessage="1" sqref="B84:E84">
      <formula1>"Aucun ou presque, Entre un quart et la moitié, Strictement plus de la moitié"</formula1>
    </dataValidation>
    <dataValidation type="list" allowBlank="1" showInputMessage="1" showErrorMessage="1" sqref="B86:E86">
      <formula1>"Non, Strictement moins de la moitié , Plus de la moitié"</formula1>
    </dataValidation>
    <dataValidation type="list" allowBlank="1" showInputMessage="1" showErrorMessage="1" sqref="B94:E98">
      <formula1>"Inconnue, Strictement moins de 50%, Plus de 50%"</formula1>
    </dataValidation>
    <dataValidation type="list" allowBlank="1" showInputMessage="1" showErrorMessage="1" sqref="B92:E93">
      <formula1>"Inconnu, Strictement moins de 50%, Plus de 50%"</formula1>
    </dataValidation>
    <dataValidation type="list" allowBlank="1" showInputMessage="1" showErrorMessage="1" sqref="B99:E99">
      <formula1>"Pas de site public de l'EPLE, Rarement visité, Régulièrement visité"</formula1>
    </dataValidation>
    <dataValidation type="list" allowBlank="1" showInputMessage="1" showErrorMessage="1" sqref="B103:E103">
      <formula1>"Strictement moins de 30%, Plus de 30%"</formula1>
    </dataValidation>
    <dataValidation type="list" allowBlank="1" showInputMessage="1" showErrorMessage="1" sqref="B104:E104">
      <formula1>"Strictement moins de 25%, Plus de 25% et strictement moins de 50%, Plus de 50%"</formula1>
    </dataValidation>
    <dataValidation type="list" allowBlank="1" showInputMessage="1" showErrorMessage="1" sqref="B105:E105">
      <formula1>"0, 1 à 3, 4 ou plus"</formula1>
    </dataValidation>
    <dataValidation type="list" allowBlank="1" showInputMessage="1" showErrorMessage="1" sqref="B106:E106">
      <formula1>"Strictement moins de 25%, Plus de 25% et strictement moins de 50%, Plus de 50% et strictement moins de 75%, Plus de 75%"</formula1>
    </dataValidation>
    <dataValidation type="list" allowBlank="1" showInputMessage="1" showErrorMessage="1" sqref="B107:E107">
      <formula1>"Strictement moins de 25%, Plus de 25% et strictement moins de 50%, Plus de 50% et strictement moins de 100%,Cent pour cent"</formula1>
    </dataValidation>
    <dataValidation type="list" allowBlank="1" showInputMessage="1" showErrorMessage="1" sqref="B108:E108">
      <mc:AlternateContent xmlns:x12ac="http://schemas.microsoft.com/office/spreadsheetml/2011/1/ac" xmlns:mc="http://schemas.openxmlformats.org/markup-compatibility/2006">
        <mc:Choice Requires="x12ac">
          <x12ac:list>Non," Oui, occasionnellement"," Oui, régulièrement"</x12ac:list>
        </mc:Choice>
        <mc:Fallback>
          <formula1>"Non, Oui, occasionnellement, Oui, régulièrement"</formula1>
        </mc:Fallback>
      </mc:AlternateContent>
    </dataValidation>
    <dataValidation type="list" allowBlank="1" showInputMessage="1" showErrorMessage="1" sqref="B109:E109 B111:E115 B76:E76 B119:E120">
      <formula1>"Rares, Limités, Généralisés"</formula1>
    </dataValidation>
    <dataValidation type="list" allowBlank="1" showInputMessage="1" showErrorMessage="1" sqref="B110:E110">
      <formula1>"Pas d'ENT,Rares, Limités, Généralisés"</formula1>
    </dataValidation>
    <dataValidation type="list" allowBlank="1" showInputMessage="1" showErrorMessage="1" sqref="B117:E117">
      <formula1>"Rares, Limités et exclusivement en LVE, Limités et pas seulement en LVE, Généralisés mais exclusivement en LVE,Généralisés et pas seulement en LVE"</formula1>
    </dataValidation>
    <dataValidation type="list" allowBlank="1" showInputMessage="1" showErrorMessage="1" sqref="B25:E25">
      <formula1>"Oui,Non"</formula1>
    </dataValidation>
  </dataValidations>
  <pageMargins left="0.23622047244094491" right="0.23622047244094491" top="0.23622047244094491" bottom="0.23622047244094491" header="0.31496062992125984" footer="0.31496062992125984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FF00"/>
    <pageSetUpPr fitToPage="1"/>
  </sheetPr>
  <dimension ref="A1:Y26"/>
  <sheetViews>
    <sheetView workbookViewId="0">
      <selection activeCell="B9" sqref="B9"/>
    </sheetView>
  </sheetViews>
  <sheetFormatPr baseColWidth="10" defaultColWidth="9.1328125" defaultRowHeight="14.25" x14ac:dyDescent="0.45"/>
  <cols>
    <col min="1" max="1" width="57.53125" style="1" customWidth="1"/>
    <col min="2" max="2" width="8.6640625" style="1" bestFit="1" customWidth="1"/>
    <col min="3" max="3" width="24.46484375" style="1" customWidth="1"/>
    <col min="4" max="4" width="16.1328125" style="5" customWidth="1"/>
    <col min="5" max="5" width="8.33203125" style="5" bestFit="1" customWidth="1"/>
    <col min="6" max="6" width="17.33203125" style="5" customWidth="1"/>
    <col min="7" max="7" width="11.6640625" style="5" customWidth="1"/>
    <col min="8" max="8" width="9.1328125" style="1"/>
    <col min="9" max="9" width="9.1328125" style="1" hidden="1" customWidth="1"/>
    <col min="10" max="10" width="2" style="1" hidden="1" customWidth="1"/>
    <col min="11" max="11" width="21.46484375" style="1" hidden="1" customWidth="1"/>
    <col min="12" max="12" width="2" style="1" hidden="1" customWidth="1"/>
    <col min="13" max="13" width="22.53125" style="1" hidden="1" customWidth="1"/>
    <col min="14" max="14" width="2" style="1" hidden="1" customWidth="1"/>
    <col min="15" max="15" width="17.46484375" style="1" hidden="1" customWidth="1"/>
    <col min="16" max="16" width="2" style="1" hidden="1" customWidth="1"/>
    <col min="17" max="17" width="24.46484375" style="1" hidden="1" customWidth="1"/>
    <col min="18" max="18" width="2" style="1" hidden="1" customWidth="1"/>
    <col min="19" max="25" width="9.1328125" style="1" hidden="1" customWidth="1"/>
    <col min="26" max="26" width="0" style="1" hidden="1" customWidth="1"/>
    <col min="27" max="16384" width="9.1328125" style="1"/>
  </cols>
  <sheetData>
    <row r="1" spans="1:18" ht="25.9" thickBot="1" x14ac:dyDescent="0.5">
      <c r="A1" s="8" t="s">
        <v>13</v>
      </c>
      <c r="B1" s="3"/>
      <c r="C1" s="101" t="s">
        <v>319</v>
      </c>
      <c r="D1" s="173" t="str">
        <f>C24&amp;" "&amp;D24</f>
        <v>13 sur 151 possibles</v>
      </c>
      <c r="E1" s="174"/>
    </row>
    <row r="2" spans="1:18" ht="18.399999999999999" thickBot="1" x14ac:dyDescent="0.5">
      <c r="C2" s="14" t="s">
        <v>320</v>
      </c>
      <c r="D2" s="175" t="str">
        <f>C26&amp;" "&amp;D26</f>
        <v>1 sur 10</v>
      </c>
      <c r="E2" s="176"/>
    </row>
    <row r="3" spans="1:18" ht="14.65" thickBot="1" x14ac:dyDescent="0.5"/>
    <row r="4" spans="1:18" ht="47.65" thickBot="1" x14ac:dyDescent="0.5">
      <c r="A4" s="55" t="s">
        <v>0</v>
      </c>
      <c r="B4" s="56" t="s">
        <v>243</v>
      </c>
      <c r="C4" s="57" t="s">
        <v>1</v>
      </c>
      <c r="D4" s="57" t="s">
        <v>214</v>
      </c>
      <c r="E4" s="58" t="s">
        <v>2</v>
      </c>
      <c r="F4" s="57" t="s">
        <v>12</v>
      </c>
      <c r="G4" s="59" t="s">
        <v>225</v>
      </c>
    </row>
    <row r="5" spans="1:18" ht="33" customHeight="1" x14ac:dyDescent="0.45">
      <c r="A5" s="49" t="s">
        <v>3</v>
      </c>
      <c r="B5" s="50">
        <f>IF(AND('Données brutes'!B9&lt;&gt;0,'Données brutes'!B4&lt;&gt;0),'Données brutes'!B4/'Données brutes'!B9,1000)</f>
        <v>1000</v>
      </c>
      <c r="C5" s="51" t="str">
        <f>IF(B5&gt;K5,"Strictement plus de "&amp;K5,IF(B5&gt;M5,"Strictement plus de "&amp;M5&amp;" et moins de "&amp;K5,IF(B5&gt;O5,"Strictement plus de "&amp;O5&amp;" et moins de "&amp;M5,IF(B5&gt;Q5,"Strictement plus de "&amp;Q5&amp;" et moins de "&amp;O5,"Moins de "&amp;Q5))))</f>
        <v>Strictement plus de 6</v>
      </c>
      <c r="D5" s="52">
        <f>IF(B5&gt;K5,J5,IF(B5&gt;M5,L5,IF(B5&gt;O5,N5,IF(B5&gt;Q5,P5,R5))))</f>
        <v>1</v>
      </c>
      <c r="E5" s="53">
        <v>2</v>
      </c>
      <c r="F5" s="26">
        <f>D5*E5</f>
        <v>2</v>
      </c>
      <c r="G5" s="54">
        <f>5*E5</f>
        <v>10</v>
      </c>
      <c r="I5" s="1" t="s">
        <v>223</v>
      </c>
      <c r="J5" s="1">
        <v>1</v>
      </c>
      <c r="K5" s="1">
        <v>6</v>
      </c>
      <c r="L5" s="1">
        <v>2</v>
      </c>
      <c r="M5" s="1">
        <v>5</v>
      </c>
      <c r="N5" s="1">
        <v>3</v>
      </c>
      <c r="O5" s="1">
        <v>4</v>
      </c>
      <c r="P5" s="1">
        <v>4</v>
      </c>
      <c r="Q5" s="1">
        <v>3</v>
      </c>
      <c r="R5" s="1">
        <v>5</v>
      </c>
    </row>
    <row r="6" spans="1:18" ht="33" customHeight="1" x14ac:dyDescent="0.45">
      <c r="A6" s="41" t="s">
        <v>4</v>
      </c>
      <c r="B6" s="21">
        <f>IF(AND('Données brutes'!B10&lt;&gt;0,'Données brutes'!B4&lt;&gt;0),'Données brutes'!B4/'Données brutes'!B10,1000)</f>
        <v>1000</v>
      </c>
      <c r="C6" s="28" t="str">
        <f>IF(B6&gt;K6,"Strictement plus de "&amp;K6,IF(B6&gt;M6,"Strictement plus de "&amp;M6&amp;" et moins de "&amp;K6,IF(B6&gt;O6,"Strictement plus de "&amp;O6&amp;" et moins de "&amp;M6,IF(B6&gt;Q6,"Strictement plus de "&amp;Q6&amp;" et moins de "&amp;O6,"Moins de "&amp;Q6))))</f>
        <v>Strictement plus de 100</v>
      </c>
      <c r="D6" s="25">
        <f t="shared" ref="D6:D7" si="0">IF(B6&gt;K6,J6,IF(B6&gt;M6,L6,IF(B6&gt;O6,N6,IF(B6&gt;Q6,P6,R6))))</f>
        <v>1</v>
      </c>
      <c r="E6" s="22">
        <v>4</v>
      </c>
      <c r="F6" s="25">
        <f t="shared" ref="F6:F12" si="1">D6*E6</f>
        <v>4</v>
      </c>
      <c r="G6" s="42">
        <f t="shared" ref="G6:G12" si="2">5*E6</f>
        <v>20</v>
      </c>
      <c r="I6" s="1" t="s">
        <v>223</v>
      </c>
      <c r="J6" s="1">
        <v>1</v>
      </c>
      <c r="K6" s="1">
        <v>100</v>
      </c>
      <c r="L6" s="1">
        <v>2</v>
      </c>
      <c r="M6" s="1">
        <v>50</v>
      </c>
      <c r="N6" s="1">
        <v>3</v>
      </c>
      <c r="O6" s="1">
        <v>20</v>
      </c>
      <c r="P6" s="1">
        <v>4</v>
      </c>
      <c r="Q6" s="1">
        <v>4</v>
      </c>
      <c r="R6" s="1">
        <v>5</v>
      </c>
    </row>
    <row r="7" spans="1:18" ht="28.5" x14ac:dyDescent="0.45">
      <c r="A7" s="39" t="s">
        <v>5</v>
      </c>
      <c r="B7" s="17">
        <f>IF('Données brutes'!B11&lt;&gt;0,'Données brutes'!B4/'Données brutes'!B11,1000)</f>
        <v>1000</v>
      </c>
      <c r="C7" s="27" t="str">
        <f>IF(B7&gt;K7,"Strictement plus de "&amp;K7,IF(B7&gt;M7,"Strictement plus de "&amp;M7&amp;" et moins de "&amp;K7,IF(B7&gt;O7,"Strictement plus de "&amp;O7&amp;" et moins de "&amp;M7,IF(B7&gt;Q7,"Strictement plus de "&amp;Q7&amp;" et moins de "&amp;O7,"Moins de "&amp;Q7))))</f>
        <v>Strictement plus de 100</v>
      </c>
      <c r="D7" s="15">
        <f t="shared" si="0"/>
        <v>1</v>
      </c>
      <c r="E7" s="18">
        <v>4</v>
      </c>
      <c r="F7" s="24">
        <f t="shared" si="1"/>
        <v>4</v>
      </c>
      <c r="G7" s="40">
        <f t="shared" si="2"/>
        <v>20</v>
      </c>
      <c r="I7" s="1" t="s">
        <v>223</v>
      </c>
      <c r="J7" s="1">
        <v>1</v>
      </c>
      <c r="K7" s="1">
        <v>100</v>
      </c>
      <c r="L7" s="1">
        <v>2</v>
      </c>
      <c r="M7" s="1">
        <v>75</v>
      </c>
      <c r="N7" s="1">
        <v>3</v>
      </c>
      <c r="O7" s="1">
        <v>50</v>
      </c>
      <c r="P7" s="1">
        <v>4</v>
      </c>
      <c r="Q7" s="1">
        <v>20</v>
      </c>
      <c r="R7" s="1">
        <v>5</v>
      </c>
    </row>
    <row r="8" spans="1:18" ht="30.75" customHeight="1" x14ac:dyDescent="0.45">
      <c r="A8" s="41" t="s">
        <v>6</v>
      </c>
      <c r="B8" s="23">
        <f>IF('Données brutes'!B9&lt;&gt;0,'Données brutes'!B12/'Données brutes'!B9,0)</f>
        <v>0</v>
      </c>
      <c r="C8" s="28" t="str">
        <f>IF(B8&lt;K8,"Strictement moins de "&amp;100*K8&amp;" %",IF(B8&lt;M8,"Strictement moins de "&amp;100*M8&amp;" % et plus de "&amp;100*K8&amp;" %",IF(B8&lt;O8,"Strictement moins de "&amp;100*O8&amp;" % et plus de "&amp;100*M8&amp;" %",IF(B8&lt;Q8,"Strictement moins de "&amp;100*Q8&amp;" % et plus de "&amp;100*O8&amp;" %","Plus de "&amp;100*Q8&amp;" %"))))</f>
        <v>Strictement moins de 35 %</v>
      </c>
      <c r="D8" s="25">
        <f>IF(B8&lt;K8,J8,IF(B8&lt;M8,L8,IF(B8&lt;O8,N8,IF(B8&lt;Q8,P8,R8))))</f>
        <v>1</v>
      </c>
      <c r="E8" s="22">
        <v>3</v>
      </c>
      <c r="F8" s="25">
        <f t="shared" si="1"/>
        <v>3</v>
      </c>
      <c r="G8" s="42">
        <f t="shared" si="2"/>
        <v>15</v>
      </c>
      <c r="I8" s="7">
        <v>0</v>
      </c>
      <c r="J8" s="1">
        <v>1</v>
      </c>
      <c r="K8" s="7">
        <v>0.35</v>
      </c>
      <c r="L8" s="1">
        <v>2</v>
      </c>
      <c r="M8" s="7">
        <v>0.5</v>
      </c>
      <c r="N8" s="1">
        <v>3</v>
      </c>
      <c r="O8" s="7">
        <v>0.65</v>
      </c>
      <c r="P8" s="1">
        <v>4</v>
      </c>
      <c r="Q8" s="1">
        <v>0.85</v>
      </c>
      <c r="R8" s="1">
        <v>5</v>
      </c>
    </row>
    <row r="9" spans="1:18" ht="31.5" customHeight="1" x14ac:dyDescent="0.45">
      <c r="A9" s="39" t="s">
        <v>211</v>
      </c>
      <c r="B9" s="19">
        <f>IF('Données brutes'!B6&lt;&gt;0,'Données brutes'!B13/'Données brutes'!B6,0)</f>
        <v>0</v>
      </c>
      <c r="C9" s="27" t="str">
        <f>IF(B9&lt;=K9,"Moins de 20%",IF(B9&lt;=M9,"Strictement plus de 20% et moins de 50%","Strictement plus de 50%"))</f>
        <v>Moins de 20%</v>
      </c>
      <c r="D9" s="15">
        <f>IF(B9&lt;=K9,J9,IF(B9&lt;=M9,L9,N9))</f>
        <v>0</v>
      </c>
      <c r="E9" s="18">
        <v>3</v>
      </c>
      <c r="F9" s="24">
        <f t="shared" si="1"/>
        <v>0</v>
      </c>
      <c r="G9" s="40">
        <f t="shared" si="2"/>
        <v>15</v>
      </c>
      <c r="I9" s="7">
        <v>0</v>
      </c>
      <c r="J9" s="1">
        <v>0</v>
      </c>
      <c r="K9" s="7">
        <v>0.2</v>
      </c>
      <c r="L9" s="1">
        <v>2</v>
      </c>
      <c r="M9" s="7">
        <v>0.5</v>
      </c>
      <c r="N9" s="1">
        <v>5</v>
      </c>
    </row>
    <row r="10" spans="1:18" ht="23.25" x14ac:dyDescent="0.45">
      <c r="A10" s="41" t="s">
        <v>7</v>
      </c>
      <c r="B10" s="23">
        <f>IF('Données brutes'!B6&lt;&gt;0,('Données brutes'!B14+'Données brutes'!B13)/'Données brutes'!B6,0)</f>
        <v>0</v>
      </c>
      <c r="C10" s="28" t="str">
        <f>IF(B10&lt;=K10,"Moins de 20%",IF(B10&lt;=M10,"Strictement plus de 20% et moins de 50%","Strictement plus de 50%"))</f>
        <v>Moins de 20%</v>
      </c>
      <c r="D10" s="25">
        <f>IF(B10&lt;=K10,J10,IF(B10&lt;=M10,L10,N10))</f>
        <v>0</v>
      </c>
      <c r="E10" s="22">
        <v>1</v>
      </c>
      <c r="F10" s="25">
        <f t="shared" si="1"/>
        <v>0</v>
      </c>
      <c r="G10" s="42">
        <f t="shared" si="2"/>
        <v>5</v>
      </c>
      <c r="I10" s="7">
        <v>0</v>
      </c>
      <c r="J10" s="1">
        <v>0</v>
      </c>
      <c r="K10" s="7">
        <v>0.2</v>
      </c>
      <c r="L10" s="1">
        <v>1</v>
      </c>
      <c r="M10" s="7">
        <v>0.5</v>
      </c>
      <c r="N10" s="1">
        <v>5</v>
      </c>
    </row>
    <row r="11" spans="1:18" ht="23.25" x14ac:dyDescent="0.45">
      <c r="A11" s="39" t="s">
        <v>8</v>
      </c>
      <c r="B11" s="187"/>
      <c r="C11" s="27">
        <f>'Données brutes'!B15</f>
        <v>0</v>
      </c>
      <c r="D11" s="15">
        <f>IF(C11=0,0,IF(C11=I11,J11,IF(C11=K11,L11,IF(C11=M11,N11,IF(C11=O11,P11,R11)))))</f>
        <v>0</v>
      </c>
      <c r="E11" s="18">
        <v>2</v>
      </c>
      <c r="F11" s="24">
        <f t="shared" si="1"/>
        <v>0</v>
      </c>
      <c r="G11" s="40">
        <f t="shared" si="2"/>
        <v>10</v>
      </c>
      <c r="I11" s="1" t="s">
        <v>215</v>
      </c>
      <c r="J11" s="1">
        <v>0</v>
      </c>
      <c r="K11" s="1" t="s">
        <v>220</v>
      </c>
      <c r="L11" s="1">
        <v>1</v>
      </c>
      <c r="M11" s="1" t="s">
        <v>221</v>
      </c>
      <c r="N11" s="1">
        <v>2</v>
      </c>
      <c r="O11" s="1" t="s">
        <v>213</v>
      </c>
      <c r="P11" s="1">
        <v>4</v>
      </c>
      <c r="Q11" s="1" t="s">
        <v>222</v>
      </c>
      <c r="R11" s="1">
        <v>5</v>
      </c>
    </row>
    <row r="12" spans="1:18" ht="23.25" x14ac:dyDescent="0.45">
      <c r="A12" s="41" t="s">
        <v>9</v>
      </c>
      <c r="B12" s="188"/>
      <c r="C12" s="28">
        <f>'Données brutes'!B16</f>
        <v>0</v>
      </c>
      <c r="D12" s="25">
        <f>IF(C12=0,0,IF(équipements!C12=équipements!I12,équipements!J12,IF(équipements!C12=équipements!K12,équipements!L12,équipements!N12)))</f>
        <v>0</v>
      </c>
      <c r="E12" s="22">
        <v>3</v>
      </c>
      <c r="F12" s="25">
        <f t="shared" si="1"/>
        <v>0</v>
      </c>
      <c r="G12" s="42">
        <f t="shared" si="2"/>
        <v>15</v>
      </c>
      <c r="I12" s="1" t="s">
        <v>215</v>
      </c>
      <c r="J12" s="1">
        <v>0</v>
      </c>
      <c r="K12" s="1" t="s">
        <v>212</v>
      </c>
      <c r="L12" s="1">
        <v>2</v>
      </c>
      <c r="M12" s="1" t="s">
        <v>219</v>
      </c>
      <c r="N12" s="1">
        <v>5</v>
      </c>
    </row>
    <row r="13" spans="1:18" ht="23.25" x14ac:dyDescent="0.45">
      <c r="A13" s="190" t="s">
        <v>224</v>
      </c>
      <c r="B13" s="188"/>
      <c r="C13" s="27" t="str">
        <f>IF('Données brutes'!C17="Oui",'Données brutes'!B17,"-")</f>
        <v>-</v>
      </c>
      <c r="D13" s="15">
        <f>IF(C13="-",0,L13)</f>
        <v>0</v>
      </c>
      <c r="E13" s="191">
        <v>1</v>
      </c>
      <c r="F13" s="183">
        <f>SUM(D13:D19)*E13</f>
        <v>0</v>
      </c>
      <c r="G13" s="177">
        <f>SUM(L13:L19)*E13</f>
        <v>15</v>
      </c>
      <c r="I13" s="1" t="s">
        <v>216</v>
      </c>
      <c r="J13" s="1">
        <v>0</v>
      </c>
      <c r="K13" s="1" t="s">
        <v>217</v>
      </c>
      <c r="L13" s="1">
        <v>3</v>
      </c>
    </row>
    <row r="14" spans="1:18" ht="23.25" x14ac:dyDescent="0.45">
      <c r="A14" s="190"/>
      <c r="B14" s="188"/>
      <c r="C14" s="28" t="str">
        <f>IF('Données brutes'!C18="Oui",'Données brutes'!B18,"-")</f>
        <v>-</v>
      </c>
      <c r="D14" s="25">
        <f t="shared" ref="D14:D19" si="3">IF(C14="-",0,L14)</f>
        <v>0</v>
      </c>
      <c r="E14" s="192"/>
      <c r="F14" s="184"/>
      <c r="G14" s="178"/>
      <c r="I14" s="1" t="s">
        <v>216</v>
      </c>
      <c r="J14" s="1">
        <v>0</v>
      </c>
      <c r="K14" s="1" t="s">
        <v>217</v>
      </c>
      <c r="L14" s="1">
        <v>2</v>
      </c>
    </row>
    <row r="15" spans="1:18" ht="23.25" x14ac:dyDescent="0.45">
      <c r="A15" s="190"/>
      <c r="B15" s="188"/>
      <c r="C15" s="27" t="str">
        <f>IF('Données brutes'!C19="Oui",'Données brutes'!B19,"-")</f>
        <v>-</v>
      </c>
      <c r="D15" s="15">
        <f t="shared" si="3"/>
        <v>0</v>
      </c>
      <c r="E15" s="192"/>
      <c r="F15" s="184"/>
      <c r="G15" s="178"/>
      <c r="I15" s="1" t="s">
        <v>216</v>
      </c>
      <c r="J15" s="1">
        <v>0</v>
      </c>
      <c r="K15" s="1" t="s">
        <v>217</v>
      </c>
      <c r="L15" s="1">
        <v>1</v>
      </c>
    </row>
    <row r="16" spans="1:18" ht="23.25" x14ac:dyDescent="0.45">
      <c r="A16" s="190"/>
      <c r="B16" s="188"/>
      <c r="C16" s="28" t="str">
        <f>IF('Données brutes'!C20="Oui",'Données brutes'!B20,"-")</f>
        <v>-</v>
      </c>
      <c r="D16" s="25">
        <f t="shared" si="3"/>
        <v>0</v>
      </c>
      <c r="E16" s="192"/>
      <c r="F16" s="184"/>
      <c r="G16" s="178"/>
      <c r="I16" s="1" t="s">
        <v>216</v>
      </c>
      <c r="J16" s="1">
        <v>0</v>
      </c>
      <c r="K16" s="1" t="s">
        <v>217</v>
      </c>
      <c r="L16" s="1">
        <v>3</v>
      </c>
    </row>
    <row r="17" spans="1:14" ht="23.25" x14ac:dyDescent="0.45">
      <c r="A17" s="190"/>
      <c r="B17" s="188"/>
      <c r="C17" s="27" t="str">
        <f>IF('Données brutes'!C21="Oui",'Données brutes'!B21,"-")</f>
        <v>-</v>
      </c>
      <c r="D17" s="15">
        <f t="shared" si="3"/>
        <v>0</v>
      </c>
      <c r="E17" s="192"/>
      <c r="F17" s="184"/>
      <c r="G17" s="178"/>
      <c r="I17" s="1" t="s">
        <v>216</v>
      </c>
      <c r="J17" s="1">
        <v>0</v>
      </c>
      <c r="K17" s="1" t="s">
        <v>217</v>
      </c>
      <c r="L17" s="1">
        <v>2</v>
      </c>
    </row>
    <row r="18" spans="1:14" ht="23.25" x14ac:dyDescent="0.45">
      <c r="A18" s="190"/>
      <c r="B18" s="188"/>
      <c r="C18" s="28" t="str">
        <f>IF('Données brutes'!C22="Oui",'Données brutes'!B22,"-")</f>
        <v>-</v>
      </c>
      <c r="D18" s="25">
        <f t="shared" si="3"/>
        <v>0</v>
      </c>
      <c r="E18" s="192"/>
      <c r="F18" s="184"/>
      <c r="G18" s="178"/>
      <c r="I18" s="1" t="s">
        <v>216</v>
      </c>
      <c r="J18" s="1">
        <v>0</v>
      </c>
      <c r="K18" s="1" t="s">
        <v>217</v>
      </c>
      <c r="L18" s="1">
        <v>1</v>
      </c>
    </row>
    <row r="19" spans="1:14" ht="23.25" x14ac:dyDescent="0.45">
      <c r="A19" s="190"/>
      <c r="B19" s="188"/>
      <c r="C19" s="27" t="str">
        <f>IF('Données brutes'!C23="Oui",'Données brutes'!B23,"-")</f>
        <v>-</v>
      </c>
      <c r="D19" s="15">
        <f t="shared" si="3"/>
        <v>0</v>
      </c>
      <c r="E19" s="193"/>
      <c r="F19" s="185"/>
      <c r="G19" s="179"/>
      <c r="I19" s="1" t="s">
        <v>216</v>
      </c>
      <c r="J19" s="1">
        <v>0</v>
      </c>
      <c r="K19" s="1" t="s">
        <v>217</v>
      </c>
      <c r="L19" s="1">
        <v>3</v>
      </c>
    </row>
    <row r="20" spans="1:14" ht="23.25" x14ac:dyDescent="0.45">
      <c r="A20" s="41" t="s">
        <v>11</v>
      </c>
      <c r="B20" s="188"/>
      <c r="C20" s="28">
        <f>'Données brutes'!B24</f>
        <v>0</v>
      </c>
      <c r="D20" s="25">
        <f>IF(C20=0,0,IF(C20=I20,J20,IF(C20=K20,L20,N20)))</f>
        <v>0</v>
      </c>
      <c r="E20" s="22">
        <v>4</v>
      </c>
      <c r="F20" s="25">
        <f t="shared" ref="F20" si="4">D20*E20</f>
        <v>0</v>
      </c>
      <c r="G20" s="42">
        <f t="shared" ref="G20" si="5">5*E20</f>
        <v>20</v>
      </c>
      <c r="I20" s="1" t="s">
        <v>216</v>
      </c>
      <c r="J20" s="1">
        <v>0</v>
      </c>
      <c r="K20" s="1" t="s">
        <v>218</v>
      </c>
      <c r="L20" s="1">
        <v>2</v>
      </c>
      <c r="M20" s="1" t="s">
        <v>217</v>
      </c>
      <c r="N20" s="1">
        <v>5</v>
      </c>
    </row>
    <row r="21" spans="1:14" ht="28.9" thickBot="1" x14ac:dyDescent="0.5">
      <c r="A21" s="43" t="s">
        <v>10</v>
      </c>
      <c r="B21" s="189"/>
      <c r="C21" s="44">
        <f>'Données brutes'!B25</f>
        <v>0</v>
      </c>
      <c r="D21" s="45">
        <f>IF(C21=0,0,IF(C21="Oui",0,L21))</f>
        <v>0</v>
      </c>
      <c r="E21" s="46">
        <v>2</v>
      </c>
      <c r="F21" s="47">
        <f>D21*E21</f>
        <v>0</v>
      </c>
      <c r="G21" s="48">
        <f>3*E21</f>
        <v>6</v>
      </c>
      <c r="I21" s="1" t="s">
        <v>216</v>
      </c>
      <c r="J21" s="1">
        <v>0</v>
      </c>
      <c r="K21" s="1" t="s">
        <v>217</v>
      </c>
      <c r="L21" s="1">
        <v>3</v>
      </c>
    </row>
    <row r="23" spans="1:14" ht="14.65" thickBot="1" x14ac:dyDescent="0.5"/>
    <row r="24" spans="1:14" ht="18.399999999999999" thickBot="1" x14ac:dyDescent="0.5">
      <c r="A24" s="180" t="s">
        <v>27</v>
      </c>
      <c r="B24" s="181"/>
      <c r="C24" s="10">
        <f>SUM(F5:F21)</f>
        <v>13</v>
      </c>
      <c r="D24" s="181" t="str">
        <f>"sur "&amp;SUM(G5:G21)&amp;" possibles"</f>
        <v>sur 151 possibles</v>
      </c>
      <c r="E24" s="182"/>
    </row>
    <row r="25" spans="1:14" ht="18.399999999999999" thickBot="1" x14ac:dyDescent="0.5">
      <c r="A25" s="2"/>
      <c r="B25" s="2"/>
      <c r="C25" s="2"/>
      <c r="D25" s="6"/>
    </row>
    <row r="26" spans="1:14" ht="18.399999999999999" thickBot="1" x14ac:dyDescent="0.5">
      <c r="A26" s="186" t="s">
        <v>28</v>
      </c>
      <c r="B26" s="175"/>
      <c r="C26" s="11">
        <f>IF(INT(10*C24/SUM(G5:G21))+1&gt;10,10,INT(10*C24/SUM(G5:G21))+1)</f>
        <v>1</v>
      </c>
      <c r="D26" s="175" t="s">
        <v>24</v>
      </c>
      <c r="E26" s="176"/>
    </row>
  </sheetData>
  <sheetProtection password="CC95" sheet="1" objects="1" scenarios="1"/>
  <mergeCells count="11">
    <mergeCell ref="D26:E26"/>
    <mergeCell ref="A26:B26"/>
    <mergeCell ref="B11:B21"/>
    <mergeCell ref="A13:A19"/>
    <mergeCell ref="E13:E19"/>
    <mergeCell ref="D1:E1"/>
    <mergeCell ref="D2:E2"/>
    <mergeCell ref="G13:G19"/>
    <mergeCell ref="A24:B24"/>
    <mergeCell ref="D24:E24"/>
    <mergeCell ref="F13:F19"/>
  </mergeCells>
  <conditionalFormatting sqref="F5">
    <cfRule type="iconSet" priority="13">
      <iconSet>
        <cfvo type="percent" val="0"/>
        <cfvo type="formula" val="0.4*$G$5"/>
        <cfvo type="formula" val="0.8*$G$5"/>
      </iconSet>
    </cfRule>
  </conditionalFormatting>
  <conditionalFormatting sqref="F6">
    <cfRule type="iconSet" priority="10">
      <iconSet>
        <cfvo type="percent" val="0"/>
        <cfvo type="formula" val="0.4*$G$6"/>
        <cfvo type="formula" val="0.8*$G$6"/>
      </iconSet>
    </cfRule>
  </conditionalFormatting>
  <conditionalFormatting sqref="F7">
    <cfRule type="iconSet" priority="9">
      <iconSet>
        <cfvo type="percent" val="0"/>
        <cfvo type="formula" val="0.4*$G$7"/>
        <cfvo type="formula" val="0.8*$G$7"/>
      </iconSet>
    </cfRule>
  </conditionalFormatting>
  <conditionalFormatting sqref="F8">
    <cfRule type="iconSet" priority="8">
      <iconSet>
        <cfvo type="percent" val="0"/>
        <cfvo type="formula" val="0.4*$G$8"/>
        <cfvo type="formula" val="0.8*$G$8"/>
      </iconSet>
    </cfRule>
  </conditionalFormatting>
  <conditionalFormatting sqref="F9">
    <cfRule type="iconSet" priority="7">
      <iconSet>
        <cfvo type="percent" val="0"/>
        <cfvo type="formula" val="0.4*$G$9"/>
        <cfvo type="formula" val="0.8*$G$9"/>
      </iconSet>
    </cfRule>
  </conditionalFormatting>
  <conditionalFormatting sqref="F10">
    <cfRule type="iconSet" priority="6">
      <iconSet>
        <cfvo type="percent" val="0"/>
        <cfvo type="formula" val="0.4*$G$10"/>
        <cfvo type="formula" val="0.8*$G$10"/>
      </iconSet>
    </cfRule>
  </conditionalFormatting>
  <conditionalFormatting sqref="F11">
    <cfRule type="iconSet" priority="5">
      <iconSet>
        <cfvo type="percent" val="0"/>
        <cfvo type="formula" val="0.4*$G$11"/>
        <cfvo type="formula" val="0.8*$G$11"/>
      </iconSet>
    </cfRule>
  </conditionalFormatting>
  <conditionalFormatting sqref="F12">
    <cfRule type="iconSet" priority="4">
      <iconSet>
        <cfvo type="percent" val="0"/>
        <cfvo type="formula" val="0.4*$G$12"/>
        <cfvo type="formula" val="0.8*$G$12"/>
      </iconSet>
    </cfRule>
  </conditionalFormatting>
  <conditionalFormatting sqref="F13">
    <cfRule type="iconSet" priority="3">
      <iconSet>
        <cfvo type="percent" val="0"/>
        <cfvo type="formula" val="0.4*$G$13"/>
        <cfvo type="formula" val="0.8*$G$13"/>
      </iconSet>
    </cfRule>
  </conditionalFormatting>
  <conditionalFormatting sqref="F20">
    <cfRule type="iconSet" priority="2">
      <iconSet>
        <cfvo type="percent" val="0"/>
        <cfvo type="formula" val="0.4*$G$20"/>
        <cfvo type="formula" val="0.8*$G$20"/>
      </iconSet>
    </cfRule>
  </conditionalFormatting>
  <conditionalFormatting sqref="F21">
    <cfRule type="iconSet" priority="1">
      <iconSet>
        <cfvo type="percent" val="0"/>
        <cfvo type="formula" val="0.4*$G$21"/>
        <cfvo type="formula" val="0.8*$G$21"/>
      </iconSet>
    </cfRule>
  </conditionalFormatting>
  <pageMargins left="0.23622047244094488" right="0.23622047244094488" top="0.23622047244094488" bottom="0.23622047244094488" header="0.31496062992125984" footer="0.31496062992125984"/>
  <pageSetup paperSize="9" scale="88" orientation="landscape" r:id="rId1"/>
  <ignoredErrors>
    <ignoredError sqref="G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FF00"/>
    <pageSetUpPr fitToPage="1"/>
  </sheetPr>
  <dimension ref="A1:Y22"/>
  <sheetViews>
    <sheetView workbookViewId="0">
      <selection activeCell="F8" sqref="F8"/>
    </sheetView>
  </sheetViews>
  <sheetFormatPr baseColWidth="10" defaultColWidth="9.1328125" defaultRowHeight="14.25" x14ac:dyDescent="0.45"/>
  <cols>
    <col min="1" max="1" width="57.53125" style="1" customWidth="1"/>
    <col min="2" max="2" width="8.6640625" style="1" bestFit="1" customWidth="1"/>
    <col min="3" max="3" width="24.46484375" style="1" customWidth="1"/>
    <col min="4" max="4" width="16.1328125" style="5" customWidth="1"/>
    <col min="5" max="5" width="8.33203125" style="5" bestFit="1" customWidth="1"/>
    <col min="6" max="6" width="17.33203125" style="5" customWidth="1"/>
    <col min="7" max="7" width="10.6640625" style="5" bestFit="1" customWidth="1"/>
    <col min="8" max="8" width="9.1328125" style="1"/>
    <col min="9" max="9" width="20.46484375" style="1" hidden="1" customWidth="1"/>
    <col min="10" max="10" width="2" style="1" hidden="1" customWidth="1"/>
    <col min="11" max="11" width="25.46484375" style="1" hidden="1" customWidth="1"/>
    <col min="12" max="12" width="2" style="1" hidden="1" customWidth="1"/>
    <col min="13" max="13" width="18.53125" style="1" hidden="1" customWidth="1"/>
    <col min="14" max="14" width="2" style="1" hidden="1" customWidth="1"/>
    <col min="15" max="15" width="15.86328125" style="1" hidden="1" customWidth="1"/>
    <col min="16" max="16" width="2" style="1" hidden="1" customWidth="1"/>
    <col min="17" max="25" width="9.1328125" style="1" hidden="1" customWidth="1"/>
    <col min="26" max="26" width="0" style="1" hidden="1" customWidth="1"/>
    <col min="27" max="16384" width="9.1328125" style="1"/>
  </cols>
  <sheetData>
    <row r="1" spans="1:16" ht="30.75" customHeight="1" thickBot="1" x14ac:dyDescent="0.5">
      <c r="A1" s="9" t="s">
        <v>14</v>
      </c>
      <c r="B1" s="4"/>
      <c r="C1" s="101" t="s">
        <v>319</v>
      </c>
      <c r="D1" s="173" t="str">
        <f>C20&amp;" "&amp;D20</f>
        <v>0 sur 170 possibles</v>
      </c>
      <c r="E1" s="174"/>
    </row>
    <row r="2" spans="1:16" ht="18.399999999999999" thickBot="1" x14ac:dyDescent="0.5">
      <c r="C2" s="14" t="s">
        <v>320</v>
      </c>
      <c r="D2" s="175" t="str">
        <f>C22&amp;" "&amp;D22</f>
        <v>1 sur 10</v>
      </c>
      <c r="E2" s="176"/>
    </row>
    <row r="3" spans="1:16" ht="14.65" thickBot="1" x14ac:dyDescent="0.5"/>
    <row r="4" spans="1:16" ht="49.5" customHeight="1" thickBot="1" x14ac:dyDescent="0.5">
      <c r="A4" s="55" t="s">
        <v>0</v>
      </c>
      <c r="B4" s="56" t="s">
        <v>243</v>
      </c>
      <c r="C4" s="57" t="s">
        <v>1</v>
      </c>
      <c r="D4" s="57" t="s">
        <v>214</v>
      </c>
      <c r="E4" s="58" t="s">
        <v>2</v>
      </c>
      <c r="F4" s="57" t="s">
        <v>12</v>
      </c>
      <c r="G4" s="59" t="s">
        <v>225</v>
      </c>
    </row>
    <row r="5" spans="1:16" ht="23.25" x14ac:dyDescent="0.45">
      <c r="A5" s="49" t="s">
        <v>15</v>
      </c>
      <c r="B5" s="67">
        <f>IF('Données brutes'!B6:E6&lt;&gt;0,'Données brutes'!B28:E28/'Données brutes'!B6:E6,0)</f>
        <v>0</v>
      </c>
      <c r="C5" s="51" t="str">
        <f>IF(B5&lt;=K5,"Moins de "&amp;100*K5&amp;" %",IF(B5&lt;=M5," Strictement plus de "&amp;100*K5&amp;" % "&amp;"et moins de "&amp;100*M5&amp;" %","Strictement plus de "&amp;M5*100&amp;" %"))</f>
        <v>Moins de 20 %</v>
      </c>
      <c r="D5" s="26">
        <f>IF(B5&lt;=K5,J5,IF(B5&lt;=M5,L5,N5))</f>
        <v>0</v>
      </c>
      <c r="E5" s="53">
        <v>4</v>
      </c>
      <c r="F5" s="26">
        <f>D5*E5</f>
        <v>0</v>
      </c>
      <c r="G5" s="54">
        <f>5*E5</f>
        <v>20</v>
      </c>
      <c r="I5" s="1">
        <v>0</v>
      </c>
      <c r="J5" s="1">
        <v>0</v>
      </c>
      <c r="K5" s="1">
        <v>0.2</v>
      </c>
      <c r="L5" s="1">
        <v>1</v>
      </c>
      <c r="M5" s="1">
        <v>0.5</v>
      </c>
      <c r="N5" s="1">
        <v>5</v>
      </c>
    </row>
    <row r="6" spans="1:16" ht="28.5" x14ac:dyDescent="0.45">
      <c r="A6" s="41" t="s">
        <v>16</v>
      </c>
      <c r="B6" s="187"/>
      <c r="C6" s="28">
        <f>'Données brutes'!B29</f>
        <v>0</v>
      </c>
      <c r="D6" s="25">
        <f>IF(C6=0,0,IF(C6=I6,J6,IF(C6=K6,L6,N6)))</f>
        <v>0</v>
      </c>
      <c r="E6" s="22">
        <v>4</v>
      </c>
      <c r="F6" s="71">
        <f t="shared" ref="F6:F9" si="0">D6*E6</f>
        <v>0</v>
      </c>
      <c r="G6" s="42">
        <f t="shared" ref="G6:G9" si="1">5*E6</f>
        <v>20</v>
      </c>
      <c r="I6" s="1" t="s">
        <v>227</v>
      </c>
      <c r="J6" s="1">
        <v>0</v>
      </c>
      <c r="K6" s="1" t="s">
        <v>228</v>
      </c>
      <c r="L6" s="1">
        <v>3</v>
      </c>
      <c r="M6" s="1" t="s">
        <v>229</v>
      </c>
      <c r="N6" s="1">
        <v>5</v>
      </c>
    </row>
    <row r="7" spans="1:16" ht="28.5" x14ac:dyDescent="0.45">
      <c r="A7" s="39" t="s">
        <v>17</v>
      </c>
      <c r="B7" s="188"/>
      <c r="C7" s="27">
        <f>'Données brutes'!B30</f>
        <v>0</v>
      </c>
      <c r="D7" s="25">
        <f>IF(C7=0,0,IF(C7=I7,J7,IF(C7=K7,L7,N7)))</f>
        <v>0</v>
      </c>
      <c r="E7" s="18">
        <v>4</v>
      </c>
      <c r="F7" s="26">
        <f>D7*E7</f>
        <v>0</v>
      </c>
      <c r="G7" s="40">
        <f t="shared" si="1"/>
        <v>20</v>
      </c>
      <c r="I7" s="68" t="s">
        <v>230</v>
      </c>
      <c r="J7" s="69">
        <v>0</v>
      </c>
      <c r="K7" s="70" t="s">
        <v>231</v>
      </c>
      <c r="L7" s="69">
        <v>3</v>
      </c>
      <c r="M7" s="70" t="s">
        <v>232</v>
      </c>
      <c r="N7" s="1">
        <v>5</v>
      </c>
    </row>
    <row r="8" spans="1:16" ht="23.25" x14ac:dyDescent="0.45">
      <c r="A8" s="60" t="s">
        <v>18</v>
      </c>
      <c r="B8" s="188"/>
      <c r="C8" s="28">
        <f>'Données brutes'!B31</f>
        <v>0</v>
      </c>
      <c r="D8" s="25">
        <f>IF(C8=0,0,IF(C8=I8,J8,L8))</f>
        <v>0</v>
      </c>
      <c r="E8" s="22">
        <v>4</v>
      </c>
      <c r="F8" s="71">
        <f t="shared" si="0"/>
        <v>0</v>
      </c>
      <c r="G8" s="42">
        <f t="shared" si="1"/>
        <v>20</v>
      </c>
      <c r="I8" s="1" t="s">
        <v>233</v>
      </c>
      <c r="J8" s="1">
        <v>0</v>
      </c>
      <c r="K8" s="1" t="s">
        <v>236</v>
      </c>
      <c r="L8" s="1">
        <v>5</v>
      </c>
    </row>
    <row r="9" spans="1:16" ht="28.5" x14ac:dyDescent="0.45">
      <c r="A9" s="61" t="s">
        <v>19</v>
      </c>
      <c r="B9" s="188"/>
      <c r="C9" s="27">
        <f>'Données brutes'!B32</f>
        <v>0</v>
      </c>
      <c r="D9" s="24">
        <f>IF(C9=0,0,IF(C9=I9,J9,IF(C9=K9,L9,N9)))</f>
        <v>0</v>
      </c>
      <c r="E9" s="18">
        <v>4</v>
      </c>
      <c r="F9" s="26">
        <f t="shared" si="0"/>
        <v>0</v>
      </c>
      <c r="G9" s="40">
        <f t="shared" si="1"/>
        <v>20</v>
      </c>
      <c r="I9" s="1" t="s">
        <v>233</v>
      </c>
      <c r="J9" s="1">
        <v>1</v>
      </c>
      <c r="K9" s="1" t="s">
        <v>236</v>
      </c>
      <c r="L9" s="1">
        <v>5</v>
      </c>
      <c r="M9" s="1" t="s">
        <v>306</v>
      </c>
      <c r="N9" s="1">
        <v>0</v>
      </c>
    </row>
    <row r="10" spans="1:16" ht="23.25" x14ac:dyDescent="0.45">
      <c r="A10" s="194" t="s">
        <v>20</v>
      </c>
      <c r="B10" s="188"/>
      <c r="C10" s="28" t="str">
        <f>IF('Données brutes'!C33="Oui",'Données brutes'!B33,"-")</f>
        <v>-</v>
      </c>
      <c r="D10" s="25">
        <f>IF(C10=I10,J10,L10)</f>
        <v>0</v>
      </c>
      <c r="E10" s="197">
        <v>2</v>
      </c>
      <c r="F10" s="200">
        <f>SUM(D10:D13)*E10</f>
        <v>0</v>
      </c>
      <c r="G10" s="203">
        <f>SUM(L10:L13)*E10</f>
        <v>20</v>
      </c>
      <c r="I10" s="1" t="s">
        <v>270</v>
      </c>
      <c r="J10" s="1">
        <v>0</v>
      </c>
      <c r="K10" s="1" t="s">
        <v>217</v>
      </c>
      <c r="L10" s="1">
        <v>2</v>
      </c>
    </row>
    <row r="11" spans="1:16" ht="23.25" x14ac:dyDescent="0.45">
      <c r="A11" s="195"/>
      <c r="B11" s="188"/>
      <c r="C11" s="27" t="str">
        <f>IF('Données brutes'!C34="Oui",'Données brutes'!B34,"-")</f>
        <v>-</v>
      </c>
      <c r="D11" s="24">
        <f t="shared" ref="D11:D13" si="2">IF(C11=I11,J11,L11)</f>
        <v>0</v>
      </c>
      <c r="E11" s="198"/>
      <c r="F11" s="201"/>
      <c r="G11" s="204"/>
      <c r="I11" s="1" t="s">
        <v>270</v>
      </c>
      <c r="J11" s="1">
        <v>0</v>
      </c>
      <c r="K11" s="1" t="s">
        <v>217</v>
      </c>
      <c r="L11" s="1">
        <v>2</v>
      </c>
    </row>
    <row r="12" spans="1:16" ht="23.25" x14ac:dyDescent="0.45">
      <c r="A12" s="195"/>
      <c r="B12" s="188"/>
      <c r="C12" s="28" t="str">
        <f>IF('Données brutes'!C35="Oui",'Données brutes'!B35,"-")</f>
        <v>-</v>
      </c>
      <c r="D12" s="118">
        <f t="shared" si="2"/>
        <v>0</v>
      </c>
      <c r="E12" s="198"/>
      <c r="F12" s="201"/>
      <c r="G12" s="204"/>
      <c r="I12" s="1" t="s">
        <v>270</v>
      </c>
      <c r="J12" s="1">
        <v>0</v>
      </c>
      <c r="K12" s="1" t="s">
        <v>217</v>
      </c>
      <c r="L12" s="1">
        <v>3</v>
      </c>
    </row>
    <row r="13" spans="1:16" ht="23.25" x14ac:dyDescent="0.45">
      <c r="A13" s="196"/>
      <c r="B13" s="188"/>
      <c r="C13" s="27" t="str">
        <f>IF('Données brutes'!C36="Oui",'Données brutes'!B36,"-")</f>
        <v>-</v>
      </c>
      <c r="D13" s="117">
        <f t="shared" si="2"/>
        <v>0</v>
      </c>
      <c r="E13" s="199"/>
      <c r="F13" s="202"/>
      <c r="G13" s="205"/>
      <c r="I13" s="1" t="s">
        <v>270</v>
      </c>
      <c r="J13" s="1">
        <v>0</v>
      </c>
      <c r="K13" s="1" t="s">
        <v>217</v>
      </c>
      <c r="L13" s="1">
        <v>3</v>
      </c>
    </row>
    <row r="14" spans="1:16" ht="28.5" x14ac:dyDescent="0.45">
      <c r="A14" s="39" t="s">
        <v>21</v>
      </c>
      <c r="B14" s="188"/>
      <c r="C14" s="27">
        <f>'Données brutes'!B37</f>
        <v>0</v>
      </c>
      <c r="D14" s="24">
        <f>IF(C14=0,0,IF(C14=I14,J14,IF(C14=K14,L14,IF(C14=M14,N14,P14))))</f>
        <v>0</v>
      </c>
      <c r="E14" s="18">
        <v>2</v>
      </c>
      <c r="F14" s="26">
        <f t="shared" ref="F14:F17" si="3">D14*E14</f>
        <v>0</v>
      </c>
      <c r="G14" s="40">
        <f t="shared" ref="G14:G17" si="4">5*E14</f>
        <v>10</v>
      </c>
      <c r="I14" s="1" t="s">
        <v>235</v>
      </c>
      <c r="J14" s="1">
        <v>0</v>
      </c>
      <c r="K14" s="1" t="s">
        <v>237</v>
      </c>
      <c r="L14" s="1">
        <v>1</v>
      </c>
      <c r="M14" s="1" t="s">
        <v>238</v>
      </c>
      <c r="N14" s="1">
        <v>3</v>
      </c>
      <c r="O14" s="1" t="s">
        <v>240</v>
      </c>
      <c r="P14" s="1">
        <v>5</v>
      </c>
    </row>
    <row r="15" spans="1:16" ht="23.25" x14ac:dyDescent="0.45">
      <c r="A15" s="41" t="s">
        <v>22</v>
      </c>
      <c r="B15" s="23">
        <f>IF('Données brutes'!B6:E6&lt;&gt;0,'Données brutes'!B38:E38/'Données brutes'!B6:E6,0)</f>
        <v>0</v>
      </c>
      <c r="C15" s="28" t="str">
        <f>IF(B15=0,"Aucune salle",IF(B15&lt;0.5,"Strictement moins de la moitié","Plus de la moitié"))</f>
        <v>Aucune salle</v>
      </c>
      <c r="D15" s="25">
        <f>IF(B15=0,J15,IF(B15&lt;0.5,L15,N15))</f>
        <v>0</v>
      </c>
      <c r="E15" s="22">
        <v>4</v>
      </c>
      <c r="F15" s="71">
        <f t="shared" si="3"/>
        <v>0</v>
      </c>
      <c r="G15" s="42">
        <f t="shared" si="4"/>
        <v>20</v>
      </c>
      <c r="I15" s="1">
        <v>0</v>
      </c>
      <c r="J15" s="1">
        <v>0</v>
      </c>
      <c r="K15" s="1">
        <v>0.5</v>
      </c>
      <c r="L15" s="1">
        <v>3</v>
      </c>
      <c r="M15" s="1">
        <v>1</v>
      </c>
      <c r="N15" s="1">
        <v>5</v>
      </c>
    </row>
    <row r="16" spans="1:16" ht="23.25" x14ac:dyDescent="0.45">
      <c r="A16" s="39" t="s">
        <v>226</v>
      </c>
      <c r="B16" s="187"/>
      <c r="C16" s="27">
        <f>'Données brutes'!B39</f>
        <v>0</v>
      </c>
      <c r="D16" s="24">
        <f>IF(C16=0,0,IF(C16=I16,J16,L16))</f>
        <v>0</v>
      </c>
      <c r="E16" s="18">
        <v>2</v>
      </c>
      <c r="F16" s="26">
        <f t="shared" si="3"/>
        <v>0</v>
      </c>
      <c r="G16" s="40">
        <f t="shared" si="4"/>
        <v>10</v>
      </c>
      <c r="I16" s="1" t="s">
        <v>233</v>
      </c>
      <c r="J16" s="1">
        <v>0</v>
      </c>
      <c r="K16" s="1" t="s">
        <v>236</v>
      </c>
      <c r="L16" s="1">
        <v>5</v>
      </c>
    </row>
    <row r="17" spans="1:14" ht="28.9" thickBot="1" x14ac:dyDescent="0.5">
      <c r="A17" s="62" t="s">
        <v>23</v>
      </c>
      <c r="B17" s="189"/>
      <c r="C17" s="28">
        <f>'Données brutes'!B40</f>
        <v>0</v>
      </c>
      <c r="D17" s="63">
        <f>IF(C17=0,0,IF(C17=I17,J17,IF(C17=K17,L17,N17)))</f>
        <v>0</v>
      </c>
      <c r="E17" s="64">
        <v>2</v>
      </c>
      <c r="F17" s="71">
        <f t="shared" si="3"/>
        <v>0</v>
      </c>
      <c r="G17" s="65">
        <f t="shared" si="4"/>
        <v>10</v>
      </c>
      <c r="I17" s="1" t="s">
        <v>216</v>
      </c>
      <c r="J17" s="1">
        <v>0</v>
      </c>
      <c r="K17" s="1" t="s">
        <v>241</v>
      </c>
      <c r="L17" s="1">
        <v>3</v>
      </c>
      <c r="M17" s="1" t="s">
        <v>242</v>
      </c>
      <c r="N17" s="1">
        <v>5</v>
      </c>
    </row>
    <row r="19" spans="1:14" ht="14.65" thickBot="1" x14ac:dyDescent="0.5"/>
    <row r="20" spans="1:14" ht="18.399999999999999" thickBot="1" x14ac:dyDescent="0.5">
      <c r="A20" s="12" t="s">
        <v>26</v>
      </c>
      <c r="B20" s="13"/>
      <c r="C20" s="10">
        <f>SUM(F5:F17)</f>
        <v>0</v>
      </c>
      <c r="D20" s="181" t="str">
        <f>"sur "&amp;SUM(G5:G17)&amp;" possibles"</f>
        <v>sur 170 possibles</v>
      </c>
      <c r="E20" s="182"/>
    </row>
    <row r="21" spans="1:14" ht="18.399999999999999" thickBot="1" x14ac:dyDescent="0.5">
      <c r="A21" s="2"/>
      <c r="B21" s="2"/>
      <c r="C21" s="2"/>
      <c r="D21" s="6"/>
    </row>
    <row r="22" spans="1:14" ht="18.399999999999999" thickBot="1" x14ac:dyDescent="0.5">
      <c r="A22" s="14" t="s">
        <v>25</v>
      </c>
      <c r="B22" s="11"/>
      <c r="C22" s="11">
        <f>IF(INT(10*C20/SUM(G5:G17))+1&gt;10,10,INT(10*C20/SUM(G5:G17))+1)</f>
        <v>1</v>
      </c>
      <c r="D22" s="175" t="s">
        <v>24</v>
      </c>
      <c r="E22" s="176"/>
    </row>
  </sheetData>
  <sheetProtection password="CC95" sheet="1" objects="1" scenarios="1"/>
  <mergeCells count="10">
    <mergeCell ref="A10:A13"/>
    <mergeCell ref="E10:E13"/>
    <mergeCell ref="F10:F13"/>
    <mergeCell ref="G10:G13"/>
    <mergeCell ref="B6:B14"/>
    <mergeCell ref="D20:E20"/>
    <mergeCell ref="D22:E22"/>
    <mergeCell ref="B16:B17"/>
    <mergeCell ref="D1:E1"/>
    <mergeCell ref="D2:E2"/>
  </mergeCells>
  <conditionalFormatting sqref="F5">
    <cfRule type="iconSet" priority="11">
      <iconSet>
        <cfvo type="percent" val="0"/>
        <cfvo type="formula" val="0.4*$G$5"/>
        <cfvo type="formula" val="0.8*$G$5"/>
      </iconSet>
    </cfRule>
  </conditionalFormatting>
  <conditionalFormatting sqref="F6">
    <cfRule type="iconSet" priority="10">
      <iconSet>
        <cfvo type="percent" val="0"/>
        <cfvo type="formula" val="0.4*$G$6"/>
        <cfvo type="formula" val="0.8*$G$6"/>
      </iconSet>
    </cfRule>
  </conditionalFormatting>
  <conditionalFormatting sqref="F7">
    <cfRule type="iconSet" priority="8">
      <iconSet>
        <cfvo type="percent" val="0"/>
        <cfvo type="formula" val="0.4*$G$7"/>
        <cfvo type="formula" val="0.8*$G$7"/>
      </iconSet>
    </cfRule>
  </conditionalFormatting>
  <conditionalFormatting sqref="F8">
    <cfRule type="iconSet" priority="7">
      <iconSet>
        <cfvo type="percent" val="0"/>
        <cfvo type="formula" val="0.4*$G$8"/>
        <cfvo type="formula" val="0.8*$G$8"/>
      </iconSet>
    </cfRule>
  </conditionalFormatting>
  <conditionalFormatting sqref="F9">
    <cfRule type="iconSet" priority="6">
      <iconSet>
        <cfvo type="percent" val="0"/>
        <cfvo type="formula" val="0.4*$G$9"/>
        <cfvo type="formula" val="0.8*$G$9"/>
      </iconSet>
    </cfRule>
  </conditionalFormatting>
  <conditionalFormatting sqref="F10">
    <cfRule type="iconSet" priority="5">
      <iconSet>
        <cfvo type="percent" val="0"/>
        <cfvo type="formula" val="0.4*$G$10"/>
        <cfvo type="formula" val="0.8*$G$10"/>
      </iconSet>
    </cfRule>
  </conditionalFormatting>
  <conditionalFormatting sqref="F14">
    <cfRule type="iconSet" priority="4">
      <iconSet>
        <cfvo type="percent" val="0"/>
        <cfvo type="formula" val="0.4*$G$14"/>
        <cfvo type="formula" val="0.8*$G$14"/>
      </iconSet>
    </cfRule>
  </conditionalFormatting>
  <conditionalFormatting sqref="F15">
    <cfRule type="iconSet" priority="3">
      <iconSet>
        <cfvo type="percent" val="0"/>
        <cfvo type="formula" val="0.4*$G$15"/>
        <cfvo type="formula" val="0.8*$G$15"/>
      </iconSet>
    </cfRule>
  </conditionalFormatting>
  <conditionalFormatting sqref="F16">
    <cfRule type="iconSet" priority="2">
      <iconSet>
        <cfvo type="percent" val="0"/>
        <cfvo type="formula" val="0.4*$G$16"/>
        <cfvo type="formula" val="0.8*$G$16"/>
      </iconSet>
    </cfRule>
  </conditionalFormatting>
  <conditionalFormatting sqref="F17">
    <cfRule type="iconSet" priority="1">
      <iconSet>
        <cfvo type="percent" val="0"/>
        <cfvo type="formula" val="0.4*$G$17"/>
        <cfvo type="formula" val="0.8*$G$17"/>
      </iconSet>
    </cfRule>
  </conditionalFormatting>
  <pageMargins left="0.23622047244094488" right="0.23622047244094488" top="0.23622047244094488" bottom="0.23622047244094488" header="0.31496062992125984" footer="0.31496062992125984"/>
  <pageSetup paperSize="9" scale="99" orientation="landscape" r:id="rId1"/>
  <ignoredErrors>
    <ignoredError sqref="D8" formula="1"/>
    <ignoredError sqref="G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FF00"/>
    <pageSetUpPr fitToPage="1"/>
  </sheetPr>
  <dimension ref="A1:Z22"/>
  <sheetViews>
    <sheetView topLeftCell="A4" workbookViewId="0">
      <selection activeCell="C12" sqref="C12"/>
    </sheetView>
  </sheetViews>
  <sheetFormatPr baseColWidth="10" defaultRowHeight="14.25" x14ac:dyDescent="0.45"/>
  <cols>
    <col min="1" max="1" width="57.53125" style="1" customWidth="1"/>
    <col min="2" max="2" width="28.33203125" style="1" customWidth="1"/>
    <col min="3" max="3" width="16.1328125" style="5" customWidth="1"/>
    <col min="4" max="4" width="8.33203125" style="5" bestFit="1" customWidth="1"/>
    <col min="5" max="5" width="17.33203125" style="5" customWidth="1"/>
    <col min="6" max="6" width="10.6640625" style="5" bestFit="1" customWidth="1"/>
    <col min="7" max="7" width="11.46484375" style="1"/>
    <col min="8" max="8" width="29.1328125" style="1" hidden="1" customWidth="1"/>
    <col min="9" max="9" width="2" style="1" hidden="1" customWidth="1"/>
    <col min="10" max="10" width="31.53125" style="1" hidden="1" customWidth="1"/>
    <col min="11" max="11" width="2" hidden="1" customWidth="1"/>
    <col min="12" max="12" width="3.46484375" hidden="1" customWidth="1"/>
    <col min="13" max="13" width="31" hidden="1" customWidth="1"/>
    <col min="14" max="14" width="2.53125" hidden="1" customWidth="1"/>
    <col min="15" max="15" width="3.1328125" hidden="1" customWidth="1"/>
    <col min="16" max="16" width="28.53125" hidden="1" customWidth="1"/>
    <col min="17" max="17" width="2" hidden="1" customWidth="1"/>
    <col min="18" max="18" width="2.86328125" hidden="1" customWidth="1"/>
    <col min="19" max="19" width="18.86328125" hidden="1" customWidth="1"/>
    <col min="20" max="20" width="3.33203125" hidden="1" customWidth="1"/>
    <col min="21" max="26" width="11.46484375" hidden="1" customWidth="1"/>
  </cols>
  <sheetData>
    <row r="1" spans="1:20" ht="25.9" thickBot="1" x14ac:dyDescent="0.5">
      <c r="A1" s="9" t="s">
        <v>29</v>
      </c>
      <c r="C1" s="101" t="s">
        <v>319</v>
      </c>
      <c r="D1" s="173" t="str">
        <f>B20&amp;" "&amp;C20</f>
        <v>0 sur 154 possibles</v>
      </c>
      <c r="E1" s="174"/>
    </row>
    <row r="2" spans="1:20" ht="18.399999999999999" thickBot="1" x14ac:dyDescent="0.5">
      <c r="C2" s="14" t="s">
        <v>320</v>
      </c>
      <c r="D2" s="175" t="str">
        <f>B22&amp;" "&amp;C22</f>
        <v>1 sur 10</v>
      </c>
      <c r="E2" s="176"/>
    </row>
    <row r="3" spans="1:20" ht="14.65" thickBot="1" x14ac:dyDescent="0.5"/>
    <row r="4" spans="1:20" ht="47.65" thickBot="1" x14ac:dyDescent="0.5">
      <c r="A4" s="55" t="s">
        <v>0</v>
      </c>
      <c r="B4" s="57" t="s">
        <v>1</v>
      </c>
      <c r="C4" s="57" t="s">
        <v>214</v>
      </c>
      <c r="D4" s="58" t="s">
        <v>2</v>
      </c>
      <c r="E4" s="57" t="s">
        <v>12</v>
      </c>
      <c r="F4" s="59" t="s">
        <v>225</v>
      </c>
    </row>
    <row r="5" spans="1:20" ht="23.25" x14ac:dyDescent="0.45">
      <c r="A5" s="207" t="s">
        <v>32</v>
      </c>
      <c r="B5" s="75">
        <f>'Données brutes'!B43</f>
        <v>0</v>
      </c>
      <c r="C5" s="76"/>
      <c r="D5" s="211">
        <v>4</v>
      </c>
      <c r="E5" s="210">
        <f>SUM(C5:C7)*D5</f>
        <v>0</v>
      </c>
      <c r="F5" s="206">
        <f>SUM(K6:K7)*D5</f>
        <v>24</v>
      </c>
    </row>
    <row r="6" spans="1:20" ht="28.5" x14ac:dyDescent="0.45">
      <c r="A6" s="208"/>
      <c r="B6" s="72" t="str">
        <f>IF('Données brutes'!E44="Non","-","Déploiement à tous les utilisateurs")</f>
        <v>Déploiement à tous les utilisateurs</v>
      </c>
      <c r="C6" s="71">
        <f>IF(B5=0,0,IF(B5="Non",0,IF('Données brutes'!E44="",0,IF('Données brutes'!E44="Non",I6,K6))))</f>
        <v>0</v>
      </c>
      <c r="D6" s="192"/>
      <c r="E6" s="184"/>
      <c r="F6" s="178"/>
      <c r="H6" s="1" t="s">
        <v>216</v>
      </c>
      <c r="I6" s="1">
        <v>1</v>
      </c>
      <c r="J6" s="1" t="s">
        <v>217</v>
      </c>
      <c r="K6">
        <v>3</v>
      </c>
    </row>
    <row r="7" spans="1:20" ht="23.25" x14ac:dyDescent="0.45">
      <c r="A7" s="209"/>
      <c r="B7" s="51" t="str">
        <f>IF('Données brutes'!E45="Non","-","Déploiement de tous les services")</f>
        <v>Déploiement de tous les services</v>
      </c>
      <c r="C7" s="26">
        <f>IF(B5=0,0,IF(B5="Non",0,IF('Données brutes'!E45="",0,IF('Données brutes'!E45="Non",I7,K7))))</f>
        <v>0</v>
      </c>
      <c r="D7" s="193"/>
      <c r="E7" s="185"/>
      <c r="F7" s="179"/>
      <c r="H7" s="1" t="s">
        <v>216</v>
      </c>
      <c r="I7" s="1">
        <v>1</v>
      </c>
      <c r="J7" s="1" t="s">
        <v>217</v>
      </c>
      <c r="K7">
        <v>3</v>
      </c>
    </row>
    <row r="8" spans="1:20" ht="28.5" x14ac:dyDescent="0.45">
      <c r="A8" s="41" t="s">
        <v>33</v>
      </c>
      <c r="B8" s="28">
        <f>'Données brutes'!B46</f>
        <v>0</v>
      </c>
      <c r="C8" s="25">
        <f>IF(B8=0,0,IF(B8=H8,I8,IF(B5="Non",IF(B8=J8,L8,O8),IF(B8=J8,K8,IF(B8=M8,N8,Q8)))))</f>
        <v>0</v>
      </c>
      <c r="D8" s="22">
        <v>2</v>
      </c>
      <c r="E8" s="25">
        <f t="shared" ref="E8:E17" si="0">C8*D8</f>
        <v>0</v>
      </c>
      <c r="F8" s="42">
        <f t="shared" ref="F8:F17" si="1">5*D8</f>
        <v>10</v>
      </c>
      <c r="H8" s="1" t="s">
        <v>235</v>
      </c>
      <c r="I8" s="1">
        <v>0</v>
      </c>
      <c r="J8" s="79" t="s">
        <v>248</v>
      </c>
      <c r="K8" s="80">
        <v>1</v>
      </c>
      <c r="L8" s="81">
        <v>2</v>
      </c>
      <c r="M8" s="79" t="s">
        <v>249</v>
      </c>
      <c r="N8" s="80">
        <v>3</v>
      </c>
      <c r="O8" s="81">
        <v>5</v>
      </c>
      <c r="P8" s="82" t="s">
        <v>247</v>
      </c>
      <c r="Q8" s="80">
        <v>5</v>
      </c>
      <c r="R8" s="80"/>
      <c r="S8" s="81"/>
    </row>
    <row r="9" spans="1:20" ht="23.25" x14ac:dyDescent="0.45">
      <c r="A9" s="39" t="s">
        <v>34</v>
      </c>
      <c r="B9" s="27">
        <f>'Données brutes'!B47</f>
        <v>0</v>
      </c>
      <c r="C9" s="24">
        <f>IF(B9=0,0,IF(B5="Non",IF(B9=H9,J9,R9),IF(B9=H9,I9,IF(B9=P9,Q9,T9))))</f>
        <v>0</v>
      </c>
      <c r="D9" s="18">
        <v>2</v>
      </c>
      <c r="E9" s="24">
        <f t="shared" si="0"/>
        <v>0</v>
      </c>
      <c r="F9" s="40">
        <f t="shared" si="1"/>
        <v>10</v>
      </c>
      <c r="H9" s="1" t="s">
        <v>307</v>
      </c>
      <c r="I9" s="1">
        <v>1</v>
      </c>
      <c r="J9" s="29">
        <v>3</v>
      </c>
      <c r="K9" s="81"/>
      <c r="L9" s="81"/>
      <c r="M9" s="83"/>
      <c r="N9" s="81"/>
      <c r="O9" s="81"/>
      <c r="P9" s="81" t="s">
        <v>250</v>
      </c>
      <c r="Q9" s="81">
        <v>3</v>
      </c>
      <c r="R9" s="81">
        <v>5</v>
      </c>
      <c r="S9" s="74" t="s">
        <v>251</v>
      </c>
      <c r="T9">
        <v>5</v>
      </c>
    </row>
    <row r="10" spans="1:20" ht="23.25" x14ac:dyDescent="0.45">
      <c r="A10" s="41" t="s">
        <v>35</v>
      </c>
      <c r="B10" s="28">
        <f>'Données brutes'!B48</f>
        <v>0</v>
      </c>
      <c r="C10" s="25">
        <f>IF(B10=0,0,IF(B10=H10,I10,IF(B10=J10,K10,N10)))</f>
        <v>0</v>
      </c>
      <c r="D10" s="22">
        <v>3</v>
      </c>
      <c r="E10" s="25">
        <f t="shared" si="0"/>
        <v>0</v>
      </c>
      <c r="F10" s="42">
        <f t="shared" si="1"/>
        <v>15</v>
      </c>
      <c r="H10" s="1" t="s">
        <v>216</v>
      </c>
      <c r="I10" s="1">
        <v>0</v>
      </c>
      <c r="J10" s="29" t="s">
        <v>241</v>
      </c>
      <c r="K10" s="81">
        <v>3</v>
      </c>
      <c r="L10" s="81"/>
      <c r="M10" s="81" t="s">
        <v>217</v>
      </c>
      <c r="N10" s="81">
        <v>5</v>
      </c>
      <c r="O10" s="81"/>
      <c r="P10" s="81"/>
      <c r="Q10" s="81"/>
      <c r="R10" s="81"/>
      <c r="S10" s="81"/>
    </row>
    <row r="11" spans="1:20" ht="28.5" x14ac:dyDescent="0.45">
      <c r="A11" s="39" t="s">
        <v>36</v>
      </c>
      <c r="B11" s="27">
        <f>'Données brutes'!B49</f>
        <v>0</v>
      </c>
      <c r="C11" s="24">
        <f>IF(B11=0,0,IF(B11=H11,0,IF(B5="Non",L11,IF(B11=J11,K11,N11))))</f>
        <v>0</v>
      </c>
      <c r="D11" s="18">
        <v>2</v>
      </c>
      <c r="E11" s="24">
        <f t="shared" si="0"/>
        <v>0</v>
      </c>
      <c r="F11" s="40">
        <f t="shared" si="1"/>
        <v>10</v>
      </c>
      <c r="H11" s="1" t="s">
        <v>244</v>
      </c>
      <c r="I11" s="1">
        <v>0</v>
      </c>
      <c r="J11" s="29" t="s">
        <v>252</v>
      </c>
      <c r="K11" s="81">
        <v>3</v>
      </c>
      <c r="L11" s="81">
        <v>5</v>
      </c>
      <c r="M11" s="74" t="s">
        <v>253</v>
      </c>
      <c r="N11" s="74">
        <v>5</v>
      </c>
      <c r="O11" s="81"/>
      <c r="P11" s="81"/>
      <c r="Q11" s="81"/>
      <c r="R11" s="81"/>
      <c r="S11" s="81"/>
    </row>
    <row r="12" spans="1:20" ht="28.5" x14ac:dyDescent="0.45">
      <c r="A12" s="41" t="s">
        <v>37</v>
      </c>
      <c r="B12" s="28">
        <f>'Données brutes'!B50</f>
        <v>0</v>
      </c>
      <c r="C12" s="25">
        <f>IF(B12=0,0,IF(B12=H12,I12,K12))</f>
        <v>0</v>
      </c>
      <c r="D12" s="22">
        <v>3</v>
      </c>
      <c r="E12" s="25">
        <f t="shared" si="0"/>
        <v>0</v>
      </c>
      <c r="F12" s="42">
        <f t="shared" si="1"/>
        <v>15</v>
      </c>
      <c r="H12" s="1" t="s">
        <v>245</v>
      </c>
      <c r="I12" s="1">
        <v>1</v>
      </c>
      <c r="J12" s="29" t="s">
        <v>254</v>
      </c>
      <c r="K12" s="81">
        <v>5</v>
      </c>
      <c r="L12" s="81"/>
      <c r="M12" s="81"/>
      <c r="N12" s="81"/>
      <c r="O12" s="81"/>
      <c r="P12" s="81"/>
      <c r="Q12" s="81"/>
      <c r="R12" s="81"/>
      <c r="S12" s="81"/>
    </row>
    <row r="13" spans="1:20" ht="23.25" x14ac:dyDescent="0.45">
      <c r="A13" s="39" t="s">
        <v>38</v>
      </c>
      <c r="B13" s="27">
        <f>'Données brutes'!B51</f>
        <v>0</v>
      </c>
      <c r="C13" s="24">
        <f>IF(B13=0,0,IF(B13=H13,I13,K13))</f>
        <v>0</v>
      </c>
      <c r="D13" s="18">
        <v>1</v>
      </c>
      <c r="E13" s="24">
        <f t="shared" si="0"/>
        <v>0</v>
      </c>
      <c r="F13" s="40">
        <f t="shared" si="1"/>
        <v>5</v>
      </c>
      <c r="H13" s="1" t="s">
        <v>216</v>
      </c>
      <c r="I13" s="1">
        <v>0</v>
      </c>
      <c r="J13" s="29" t="s">
        <v>217</v>
      </c>
      <c r="K13" s="81">
        <v>5</v>
      </c>
      <c r="L13" s="81"/>
      <c r="M13" s="81"/>
      <c r="N13" s="81"/>
      <c r="O13" s="81"/>
      <c r="P13" s="81"/>
      <c r="Q13" s="81"/>
      <c r="R13" s="81"/>
      <c r="S13" s="81"/>
    </row>
    <row r="14" spans="1:20" ht="28.5" x14ac:dyDescent="0.45">
      <c r="A14" s="41" t="s">
        <v>39</v>
      </c>
      <c r="B14" s="28">
        <f>'Données brutes'!B52</f>
        <v>0</v>
      </c>
      <c r="C14" s="25">
        <f>IF(B14=0,0,IF(B14=H14,I14,K14))</f>
        <v>0</v>
      </c>
      <c r="D14" s="22">
        <v>3</v>
      </c>
      <c r="E14" s="25">
        <f t="shared" si="0"/>
        <v>0</v>
      </c>
      <c r="F14" s="42">
        <f t="shared" si="1"/>
        <v>15</v>
      </c>
      <c r="H14" s="1" t="s">
        <v>216</v>
      </c>
      <c r="I14" s="1">
        <v>0</v>
      </c>
      <c r="J14" s="29" t="s">
        <v>217</v>
      </c>
      <c r="K14" s="81">
        <v>5</v>
      </c>
      <c r="L14" s="81"/>
      <c r="M14" s="81"/>
      <c r="N14" s="81"/>
      <c r="O14" s="81"/>
      <c r="P14" s="81"/>
      <c r="Q14" s="81"/>
      <c r="R14" s="81"/>
      <c r="S14" s="81"/>
    </row>
    <row r="15" spans="1:20" ht="23.25" x14ac:dyDescent="0.45">
      <c r="A15" s="61" t="s">
        <v>40</v>
      </c>
      <c r="B15" s="27">
        <f>'Données brutes'!B53</f>
        <v>0</v>
      </c>
      <c r="C15" s="24">
        <f>IF(B15=0,0,IF(B15=H15,I15,K15))</f>
        <v>0</v>
      </c>
      <c r="D15" s="18">
        <v>3</v>
      </c>
      <c r="E15" s="24">
        <f t="shared" si="0"/>
        <v>0</v>
      </c>
      <c r="F15" s="40">
        <f t="shared" si="1"/>
        <v>15</v>
      </c>
      <c r="H15" s="1" t="s">
        <v>216</v>
      </c>
      <c r="I15" s="1">
        <v>0</v>
      </c>
      <c r="J15" s="29" t="s">
        <v>217</v>
      </c>
      <c r="K15" s="81">
        <v>5</v>
      </c>
      <c r="L15" s="81"/>
      <c r="M15" s="81"/>
      <c r="N15" s="81"/>
      <c r="O15" s="81"/>
      <c r="P15" s="81"/>
      <c r="Q15" s="81"/>
      <c r="R15" s="81"/>
      <c r="S15" s="81"/>
    </row>
    <row r="16" spans="1:20" ht="28.5" x14ac:dyDescent="0.45">
      <c r="A16" s="41" t="s">
        <v>41</v>
      </c>
      <c r="B16" s="28">
        <f>'Données brutes'!B54</f>
        <v>0</v>
      </c>
      <c r="C16" s="25">
        <f>IF(B16=0,0,IF(B16=H16,I16,IF(B16=J16,K16,IF(B16=M16,N16,Q16))))</f>
        <v>0</v>
      </c>
      <c r="D16" s="22">
        <v>3</v>
      </c>
      <c r="E16" s="25">
        <f t="shared" si="0"/>
        <v>0</v>
      </c>
      <c r="F16" s="42">
        <f t="shared" si="1"/>
        <v>15</v>
      </c>
      <c r="H16" s="1">
        <v>0</v>
      </c>
      <c r="I16" s="1">
        <v>0</v>
      </c>
      <c r="J16" s="29" t="s">
        <v>324</v>
      </c>
      <c r="K16" s="81">
        <v>1</v>
      </c>
      <c r="L16" s="81"/>
      <c r="M16" s="81" t="s">
        <v>325</v>
      </c>
      <c r="N16" s="81">
        <v>3</v>
      </c>
      <c r="O16" s="81"/>
      <c r="P16" s="81" t="s">
        <v>326</v>
      </c>
      <c r="Q16" s="81">
        <v>5</v>
      </c>
      <c r="R16" s="81"/>
      <c r="S16" s="81"/>
    </row>
    <row r="17" spans="1:19" ht="28.9" thickBot="1" x14ac:dyDescent="0.5">
      <c r="A17" s="43" t="s">
        <v>42</v>
      </c>
      <c r="B17" s="44">
        <f>'Données brutes'!B55</f>
        <v>0</v>
      </c>
      <c r="C17" s="47">
        <f>IF(B17=0,0,IF(B17=H17,I17,IF(B17=J17,K17,IF(B17=M17,N17,Q17))))</f>
        <v>0</v>
      </c>
      <c r="D17" s="46">
        <v>4</v>
      </c>
      <c r="E17" s="47">
        <f t="shared" si="0"/>
        <v>0</v>
      </c>
      <c r="F17" s="48">
        <f t="shared" si="1"/>
        <v>20</v>
      </c>
      <c r="H17" s="1" t="s">
        <v>246</v>
      </c>
      <c r="I17" s="1">
        <v>0</v>
      </c>
      <c r="J17" s="29" t="s">
        <v>256</v>
      </c>
      <c r="K17" s="83">
        <v>2</v>
      </c>
      <c r="L17" s="83"/>
      <c r="M17" s="83" t="s">
        <v>255</v>
      </c>
      <c r="N17" s="83">
        <v>3</v>
      </c>
      <c r="O17" s="83"/>
      <c r="P17" s="83" t="s">
        <v>257</v>
      </c>
      <c r="Q17" s="81">
        <v>5</v>
      </c>
      <c r="R17" s="81"/>
      <c r="S17" s="81"/>
    </row>
    <row r="18" spans="1:19" x14ac:dyDescent="0.45">
      <c r="J18" s="29"/>
      <c r="K18" s="81"/>
      <c r="L18" s="81"/>
      <c r="M18" s="81"/>
      <c r="N18" s="81"/>
      <c r="O18" s="81"/>
      <c r="P18" s="81"/>
      <c r="Q18" s="81"/>
      <c r="R18" s="81"/>
      <c r="S18" s="81"/>
    </row>
    <row r="19" spans="1:19" ht="14.65" thickBot="1" x14ac:dyDescent="0.5">
      <c r="J19" s="29"/>
      <c r="K19" s="81"/>
      <c r="L19" s="81"/>
      <c r="M19" s="81"/>
      <c r="N19" s="81"/>
      <c r="O19" s="81"/>
      <c r="P19" s="81"/>
      <c r="Q19" s="81"/>
      <c r="R19" s="81"/>
      <c r="S19" s="81"/>
    </row>
    <row r="20" spans="1:19" ht="18.399999999999999" thickBot="1" x14ac:dyDescent="0.5">
      <c r="A20" s="12" t="s">
        <v>30</v>
      </c>
      <c r="B20" s="10">
        <f>SUM(E5:E17)</f>
        <v>0</v>
      </c>
      <c r="C20" s="181" t="str">
        <f xml:space="preserve"> "sur "&amp;SUM(F5:F17)&amp;" possibles"</f>
        <v>sur 154 possibles</v>
      </c>
      <c r="D20" s="182"/>
    </row>
    <row r="21" spans="1:19" ht="18.399999999999999" thickBot="1" x14ac:dyDescent="0.5">
      <c r="A21" s="2"/>
      <c r="B21" s="2"/>
      <c r="C21" s="6"/>
    </row>
    <row r="22" spans="1:19" ht="18.399999999999999" thickBot="1" x14ac:dyDescent="0.5">
      <c r="A22" s="14" t="s">
        <v>31</v>
      </c>
      <c r="B22" s="11">
        <f>IF(INT(10*B20/SUM(F5:F17))+1&gt;10,10,INT(10*B20/SUM(F5:F17))+1)</f>
        <v>1</v>
      </c>
      <c r="C22" s="175" t="s">
        <v>24</v>
      </c>
      <c r="D22" s="176"/>
    </row>
  </sheetData>
  <sheetProtection password="CC95" sheet="1" objects="1" scenarios="1"/>
  <mergeCells count="8">
    <mergeCell ref="D1:E1"/>
    <mergeCell ref="D2:E2"/>
    <mergeCell ref="F5:F7"/>
    <mergeCell ref="C20:D20"/>
    <mergeCell ref="C22:D22"/>
    <mergeCell ref="A5:A7"/>
    <mergeCell ref="E5:E7"/>
    <mergeCell ref="D5:D7"/>
  </mergeCells>
  <conditionalFormatting sqref="E5">
    <cfRule type="iconSet" priority="11">
      <iconSet>
        <cfvo type="percent" val="0"/>
        <cfvo type="formula" val="0.4*$F$5"/>
        <cfvo type="formula" val="0.8*$F$5"/>
      </iconSet>
    </cfRule>
  </conditionalFormatting>
  <conditionalFormatting sqref="E8">
    <cfRule type="iconSet" priority="10">
      <iconSet>
        <cfvo type="percent" val="0"/>
        <cfvo type="formula" val="0.4*$F$8"/>
        <cfvo type="formula" val="0.8*$F$8"/>
      </iconSet>
    </cfRule>
  </conditionalFormatting>
  <conditionalFormatting sqref="E9">
    <cfRule type="iconSet" priority="9">
      <iconSet>
        <cfvo type="percent" val="0"/>
        <cfvo type="formula" val="0.4*$F$9"/>
        <cfvo type="formula" val="0.8*$F$9"/>
      </iconSet>
    </cfRule>
  </conditionalFormatting>
  <conditionalFormatting sqref="E10">
    <cfRule type="iconSet" priority="8">
      <iconSet>
        <cfvo type="percent" val="0"/>
        <cfvo type="formula" val="0.4*$F$10"/>
        <cfvo type="formula" val="0.8*$F$10"/>
      </iconSet>
    </cfRule>
  </conditionalFormatting>
  <conditionalFormatting sqref="E11">
    <cfRule type="iconSet" priority="7">
      <iconSet>
        <cfvo type="percent" val="0"/>
        <cfvo type="formula" val="0.4*$F$11"/>
        <cfvo type="formula" val="0.8*$F$11"/>
      </iconSet>
    </cfRule>
  </conditionalFormatting>
  <conditionalFormatting sqref="E12">
    <cfRule type="iconSet" priority="6">
      <iconSet>
        <cfvo type="percent" val="0"/>
        <cfvo type="formula" val="0.4*$F$12"/>
        <cfvo type="formula" val="0.8*$F$12"/>
      </iconSet>
    </cfRule>
  </conditionalFormatting>
  <conditionalFormatting sqref="E13">
    <cfRule type="iconSet" priority="5">
      <iconSet>
        <cfvo type="percent" val="0"/>
        <cfvo type="formula" val="0.4*$F$13"/>
        <cfvo type="formula" val="0.8*$F$13"/>
      </iconSet>
    </cfRule>
  </conditionalFormatting>
  <conditionalFormatting sqref="E14">
    <cfRule type="iconSet" priority="4">
      <iconSet>
        <cfvo type="percent" val="0"/>
        <cfvo type="formula" val="0.4*$F$14"/>
        <cfvo type="formula" val="0.8*$F$14"/>
      </iconSet>
    </cfRule>
  </conditionalFormatting>
  <conditionalFormatting sqref="E15">
    <cfRule type="iconSet" priority="3">
      <iconSet>
        <cfvo type="percent" val="0"/>
        <cfvo type="formula" val="0.4*$F$15"/>
        <cfvo type="formula" val="0.8*$F$15"/>
      </iconSet>
    </cfRule>
  </conditionalFormatting>
  <conditionalFormatting sqref="E16">
    <cfRule type="iconSet" priority="2">
      <iconSet>
        <cfvo type="percent" val="0"/>
        <cfvo type="formula" val="0.4*$F$16"/>
        <cfvo type="formula" val="0.8*$F$16"/>
      </iconSet>
    </cfRule>
  </conditionalFormatting>
  <conditionalFormatting sqref="E17">
    <cfRule type="iconSet" priority="1">
      <iconSet>
        <cfvo type="percent" val="0"/>
        <cfvo type="formula" val="0.4*$F$17"/>
        <cfvo type="formula" val="0.8*$F$17"/>
      </iconSet>
    </cfRule>
  </conditionalFormatting>
  <pageMargins left="0.25" right="0.25" top="0.75" bottom="0.75" header="0.3" footer="0.3"/>
  <pageSetup paperSize="9" scale="83" orientation="landscape" r:id="rId1"/>
  <ignoredErrors>
    <ignoredError sqref="F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FF00"/>
    <pageSetUpPr fitToPage="1"/>
  </sheetPr>
  <dimension ref="A1:Z27"/>
  <sheetViews>
    <sheetView topLeftCell="A16" workbookViewId="0">
      <selection activeCell="B26" sqref="B26"/>
    </sheetView>
  </sheetViews>
  <sheetFormatPr baseColWidth="10" defaultRowHeight="14.25" x14ac:dyDescent="0.45"/>
  <cols>
    <col min="1" max="1" width="57.53125" style="1" customWidth="1"/>
    <col min="2" max="2" width="24.46484375" style="1" customWidth="1"/>
    <col min="3" max="3" width="16.1328125" style="5" customWidth="1"/>
    <col min="4" max="4" width="8.33203125" style="5" bestFit="1" customWidth="1"/>
    <col min="5" max="5" width="17.33203125" style="5" customWidth="1"/>
    <col min="6" max="6" width="10.6640625" style="5" bestFit="1" customWidth="1"/>
    <col min="8" max="8" width="26" hidden="1" customWidth="1"/>
    <col min="9" max="9" width="2" hidden="1" customWidth="1"/>
    <col min="10" max="10" width="29.33203125" hidden="1" customWidth="1"/>
    <col min="11" max="11" width="2" hidden="1" customWidth="1"/>
    <col min="12" max="12" width="25.33203125" hidden="1" customWidth="1"/>
    <col min="13" max="13" width="2" hidden="1" customWidth="1"/>
    <col min="14" max="14" width="26.53125" hidden="1" customWidth="1"/>
    <col min="15" max="15" width="3.86328125" hidden="1" customWidth="1"/>
    <col min="16" max="26" width="11.46484375" hidden="1" customWidth="1"/>
  </cols>
  <sheetData>
    <row r="1" spans="1:18" ht="25.9" thickBot="1" x14ac:dyDescent="0.5">
      <c r="A1" s="9" t="s">
        <v>43</v>
      </c>
      <c r="C1" s="101" t="s">
        <v>319</v>
      </c>
      <c r="D1" s="173" t="str">
        <f>B25&amp;" "&amp;C25</f>
        <v>0 sur 221 possibles</v>
      </c>
      <c r="E1" s="174"/>
    </row>
    <row r="2" spans="1:18" ht="18.399999999999999" thickBot="1" x14ac:dyDescent="0.5">
      <c r="C2" s="14" t="s">
        <v>320</v>
      </c>
      <c r="D2" s="175" t="str">
        <f>B27&amp;" "&amp;C27</f>
        <v>1 sur 10</v>
      </c>
      <c r="E2" s="176"/>
    </row>
    <row r="3" spans="1:18" ht="14.65" thickBot="1" x14ac:dyDescent="0.5"/>
    <row r="4" spans="1:18" ht="47.65" thickBot="1" x14ac:dyDescent="0.5">
      <c r="A4" s="96" t="s">
        <v>0</v>
      </c>
      <c r="B4" s="97" t="s">
        <v>1</v>
      </c>
      <c r="C4" s="97" t="s">
        <v>214</v>
      </c>
      <c r="D4" s="98" t="s">
        <v>2</v>
      </c>
      <c r="E4" s="97" t="s">
        <v>12</v>
      </c>
      <c r="F4" s="99" t="s">
        <v>225</v>
      </c>
    </row>
    <row r="5" spans="1:18" ht="23.25" x14ac:dyDescent="0.45">
      <c r="A5" s="77" t="s">
        <v>46</v>
      </c>
      <c r="B5" s="75">
        <f>'Données brutes'!B58</f>
        <v>0</v>
      </c>
      <c r="C5" s="78">
        <f>IF(B5=0,0,IF(B5=H5,I5,K5))</f>
        <v>0</v>
      </c>
      <c r="D5" s="92">
        <v>2</v>
      </c>
      <c r="E5" s="78">
        <f>C5*D5</f>
        <v>0</v>
      </c>
      <c r="F5" s="93">
        <f>5*D5</f>
        <v>10</v>
      </c>
      <c r="H5" s="73" t="s">
        <v>216</v>
      </c>
      <c r="I5" s="73">
        <v>0</v>
      </c>
      <c r="J5" s="73" t="s">
        <v>217</v>
      </c>
      <c r="K5" s="73">
        <v>5</v>
      </c>
      <c r="L5" s="73"/>
      <c r="M5" s="73"/>
      <c r="N5" s="73"/>
      <c r="O5" s="73"/>
      <c r="P5" s="73"/>
      <c r="Q5" s="73"/>
      <c r="R5" s="73"/>
    </row>
    <row r="6" spans="1:18" ht="28.5" x14ac:dyDescent="0.45">
      <c r="A6" s="41" t="s">
        <v>47</v>
      </c>
      <c r="B6" s="28">
        <f>'Données brutes'!B59</f>
        <v>0</v>
      </c>
      <c r="C6" s="25">
        <f>IF(B6=0,0,IF(B6=H6,I6,IF(B6=J6,K6,M6)))</f>
        <v>0</v>
      </c>
      <c r="D6" s="88">
        <v>4</v>
      </c>
      <c r="E6" s="25">
        <f t="shared" ref="E6:E22" si="0">C6*D6</f>
        <v>0</v>
      </c>
      <c r="F6" s="89">
        <f t="shared" ref="F6:F22" si="1">5*D6</f>
        <v>20</v>
      </c>
      <c r="H6" s="73" t="s">
        <v>216</v>
      </c>
      <c r="I6" s="73">
        <v>0</v>
      </c>
      <c r="J6" s="73" t="s">
        <v>258</v>
      </c>
      <c r="K6" s="73">
        <v>2</v>
      </c>
      <c r="L6" s="73" t="s">
        <v>259</v>
      </c>
      <c r="M6" s="73">
        <v>5</v>
      </c>
      <c r="N6" s="73"/>
      <c r="O6" s="73"/>
      <c r="P6" s="73"/>
      <c r="Q6" s="73"/>
      <c r="R6" s="73"/>
    </row>
    <row r="7" spans="1:18" ht="28.5" x14ac:dyDescent="0.45">
      <c r="A7" s="94" t="s">
        <v>48</v>
      </c>
      <c r="B7" s="27">
        <f>'Données brutes'!B60</f>
        <v>0</v>
      </c>
      <c r="C7" s="24">
        <f>IF(B7=0,0,IF(B7=H7,I7,IF(B7=J7,K7,M7)))</f>
        <v>0</v>
      </c>
      <c r="D7" s="86">
        <v>4</v>
      </c>
      <c r="E7" s="24">
        <f t="shared" si="0"/>
        <v>0</v>
      </c>
      <c r="F7" s="87">
        <f t="shared" si="1"/>
        <v>20</v>
      </c>
      <c r="H7" s="73" t="s">
        <v>216</v>
      </c>
      <c r="I7" s="73">
        <v>0</v>
      </c>
      <c r="J7" s="73" t="s">
        <v>260</v>
      </c>
      <c r="K7" s="73">
        <v>3</v>
      </c>
      <c r="L7" s="73" t="s">
        <v>261</v>
      </c>
      <c r="M7" s="73">
        <v>5</v>
      </c>
      <c r="N7" s="73"/>
      <c r="O7" s="73"/>
      <c r="P7" s="73"/>
      <c r="Q7" s="73"/>
      <c r="R7" s="73"/>
    </row>
    <row r="8" spans="1:18" ht="28.5" x14ac:dyDescent="0.45">
      <c r="A8" s="41" t="s">
        <v>49</v>
      </c>
      <c r="B8" s="28">
        <f>'Données brutes'!B61</f>
        <v>0</v>
      </c>
      <c r="C8" s="25">
        <f>IF(B8=0,0,IF(B8=H8,I8,IF(B8=J8,K8,M8)))</f>
        <v>0</v>
      </c>
      <c r="D8" s="88">
        <v>3</v>
      </c>
      <c r="E8" s="25">
        <f t="shared" si="0"/>
        <v>0</v>
      </c>
      <c r="F8" s="89">
        <f t="shared" si="1"/>
        <v>15</v>
      </c>
      <c r="H8" s="73" t="s">
        <v>216</v>
      </c>
      <c r="I8" s="73">
        <v>0</v>
      </c>
      <c r="J8" s="73" t="s">
        <v>262</v>
      </c>
      <c r="K8" s="73">
        <v>3</v>
      </c>
      <c r="L8" s="73" t="s">
        <v>263</v>
      </c>
      <c r="M8" s="73">
        <v>5</v>
      </c>
      <c r="N8" s="73"/>
      <c r="O8" s="73"/>
      <c r="P8" s="73"/>
      <c r="Q8" s="73"/>
      <c r="R8" s="73"/>
    </row>
    <row r="9" spans="1:18" ht="28.5" x14ac:dyDescent="0.45">
      <c r="A9" s="94" t="s">
        <v>50</v>
      </c>
      <c r="B9" s="27">
        <f>'Données brutes'!B62</f>
        <v>0</v>
      </c>
      <c r="C9" s="24">
        <f>IF(B9=0,0,IF(B9=H9,I9,K9))</f>
        <v>0</v>
      </c>
      <c r="D9" s="86">
        <v>2</v>
      </c>
      <c r="E9" s="24">
        <f t="shared" si="0"/>
        <v>0</v>
      </c>
      <c r="F9" s="87">
        <f t="shared" si="1"/>
        <v>10</v>
      </c>
      <c r="H9" s="73" t="s">
        <v>216</v>
      </c>
      <c r="I9" s="73">
        <v>0</v>
      </c>
      <c r="J9" s="73" t="s">
        <v>217</v>
      </c>
      <c r="K9" s="73">
        <v>5</v>
      </c>
      <c r="L9" s="73"/>
      <c r="M9" s="73"/>
      <c r="N9" s="73"/>
      <c r="O9" s="73"/>
      <c r="P9" s="73"/>
      <c r="Q9" s="73"/>
      <c r="R9" s="73"/>
    </row>
    <row r="10" spans="1:18" ht="23.25" x14ac:dyDescent="0.45">
      <c r="A10" s="41" t="s">
        <v>308</v>
      </c>
      <c r="B10" s="28">
        <f>'Données brutes'!B63</f>
        <v>0</v>
      </c>
      <c r="C10" s="25">
        <f>IF(B10=0,0,IF(B10=H10,I10,IF(B10=J10,K10,IF(B10=L10,M10,O10))))</f>
        <v>0</v>
      </c>
      <c r="D10" s="88">
        <v>2</v>
      </c>
      <c r="E10" s="25">
        <f t="shared" si="0"/>
        <v>0</v>
      </c>
      <c r="F10" s="89">
        <f t="shared" si="1"/>
        <v>10</v>
      </c>
      <c r="H10" s="73" t="s">
        <v>216</v>
      </c>
      <c r="I10" s="73">
        <v>0</v>
      </c>
      <c r="J10" s="73" t="s">
        <v>264</v>
      </c>
      <c r="K10" s="73">
        <v>1</v>
      </c>
      <c r="L10" s="73" t="s">
        <v>265</v>
      </c>
      <c r="M10" s="73">
        <v>3</v>
      </c>
      <c r="N10" s="73" t="s">
        <v>266</v>
      </c>
      <c r="O10" s="73">
        <v>5</v>
      </c>
      <c r="P10" s="73"/>
      <c r="Q10" s="73"/>
      <c r="R10" s="73"/>
    </row>
    <row r="11" spans="1:18" ht="28.5" x14ac:dyDescent="0.45">
      <c r="A11" s="94" t="s">
        <v>310</v>
      </c>
      <c r="B11" s="27">
        <f>'Données brutes'!B64</f>
        <v>0</v>
      </c>
      <c r="C11" s="24">
        <f>IF(B11=0,0,IF(B11=H11,I11,K11))</f>
        <v>0</v>
      </c>
      <c r="D11" s="86">
        <v>2</v>
      </c>
      <c r="E11" s="24">
        <f t="shared" si="0"/>
        <v>0</v>
      </c>
      <c r="F11" s="87">
        <f t="shared" si="1"/>
        <v>10</v>
      </c>
      <c r="H11" s="73" t="s">
        <v>216</v>
      </c>
      <c r="I11" s="73">
        <v>0</v>
      </c>
      <c r="J11" s="73" t="s">
        <v>217</v>
      </c>
      <c r="K11" s="73">
        <v>5</v>
      </c>
      <c r="L11" s="73"/>
      <c r="M11" s="73"/>
      <c r="N11" s="73"/>
      <c r="O11" s="73"/>
      <c r="P11" s="73"/>
      <c r="Q11" s="73"/>
      <c r="R11" s="73"/>
    </row>
    <row r="12" spans="1:18" ht="28.5" x14ac:dyDescent="0.45">
      <c r="A12" s="60" t="s">
        <v>51</v>
      </c>
      <c r="B12" s="28">
        <f>'Données brutes'!B65</f>
        <v>0</v>
      </c>
      <c r="C12" s="25">
        <f>IF(B12=0,0,IF(B12=H12,I12,K12))</f>
        <v>0</v>
      </c>
      <c r="D12" s="88">
        <v>4</v>
      </c>
      <c r="E12" s="25">
        <f t="shared" si="0"/>
        <v>0</v>
      </c>
      <c r="F12" s="89">
        <f t="shared" si="1"/>
        <v>20</v>
      </c>
      <c r="H12" s="73" t="s">
        <v>216</v>
      </c>
      <c r="I12" s="73">
        <v>0</v>
      </c>
      <c r="J12" s="73" t="s">
        <v>217</v>
      </c>
      <c r="K12" s="73">
        <v>5</v>
      </c>
      <c r="L12" s="73"/>
      <c r="M12" s="73"/>
      <c r="N12" s="73"/>
      <c r="O12" s="73"/>
      <c r="P12" s="73"/>
      <c r="Q12" s="73"/>
      <c r="R12" s="73"/>
    </row>
    <row r="13" spans="1:18" ht="36" customHeight="1" x14ac:dyDescent="0.45">
      <c r="A13" s="94" t="s">
        <v>52</v>
      </c>
      <c r="B13" s="27">
        <f>'Données brutes'!B66</f>
        <v>0</v>
      </c>
      <c r="C13" s="100">
        <f>IF(B13=0,0,IF(B13=H13,I13,K13))</f>
        <v>0</v>
      </c>
      <c r="D13" s="86">
        <v>1</v>
      </c>
      <c r="E13" s="24">
        <f t="shared" si="0"/>
        <v>0</v>
      </c>
      <c r="F13" s="87">
        <f t="shared" si="1"/>
        <v>5</v>
      </c>
      <c r="H13" s="73" t="s">
        <v>216</v>
      </c>
      <c r="I13" s="73">
        <v>0</v>
      </c>
      <c r="J13" s="73" t="s">
        <v>267</v>
      </c>
      <c r="K13" s="73">
        <v>5</v>
      </c>
      <c r="L13" s="73"/>
      <c r="M13" s="73"/>
      <c r="N13" s="73"/>
      <c r="O13" s="73"/>
      <c r="P13" s="73"/>
      <c r="Q13" s="73"/>
      <c r="R13" s="73"/>
    </row>
    <row r="14" spans="1:18" ht="23.25" x14ac:dyDescent="0.45">
      <c r="A14" s="41" t="s">
        <v>53</v>
      </c>
      <c r="B14" s="28">
        <f>'Données brutes'!B67</f>
        <v>0</v>
      </c>
      <c r="C14" s="25">
        <f>IF(B14=0,0,IF(B14=H14,I14,K14))</f>
        <v>0</v>
      </c>
      <c r="D14" s="88">
        <v>4</v>
      </c>
      <c r="E14" s="25">
        <f t="shared" si="0"/>
        <v>0</v>
      </c>
      <c r="F14" s="89">
        <f t="shared" si="1"/>
        <v>20</v>
      </c>
      <c r="H14" s="73" t="s">
        <v>216</v>
      </c>
      <c r="I14" s="73">
        <v>0</v>
      </c>
      <c r="J14" s="73" t="s">
        <v>217</v>
      </c>
      <c r="K14" s="73">
        <v>5</v>
      </c>
      <c r="L14" s="73"/>
      <c r="M14" s="73"/>
      <c r="N14" s="73"/>
      <c r="O14" s="73"/>
      <c r="P14" s="73"/>
      <c r="Q14" s="73"/>
      <c r="R14" s="73"/>
    </row>
    <row r="15" spans="1:18" ht="23.25" x14ac:dyDescent="0.45">
      <c r="A15" s="212" t="s">
        <v>54</v>
      </c>
      <c r="B15" s="27" t="str">
        <f>IF('Données brutes'!C68="Oui",'Données brutes'!B68,"-")</f>
        <v>-</v>
      </c>
      <c r="C15" s="24">
        <f>IF('Données brutes'!C68="",0,IF(B15=H15,I15,K15))</f>
        <v>0</v>
      </c>
      <c r="D15" s="161">
        <v>2</v>
      </c>
      <c r="E15" s="215">
        <f>SUM(C15:C17)*D15</f>
        <v>0</v>
      </c>
      <c r="F15" s="214">
        <f>SUM(K15:K17)*D15</f>
        <v>18</v>
      </c>
      <c r="H15" s="73" t="s">
        <v>270</v>
      </c>
      <c r="I15" s="73">
        <v>0</v>
      </c>
      <c r="J15" s="73" t="s">
        <v>217</v>
      </c>
      <c r="K15" s="73">
        <v>3</v>
      </c>
      <c r="L15" s="73"/>
      <c r="M15" s="73"/>
      <c r="N15" s="73"/>
      <c r="O15" s="73"/>
      <c r="P15" s="73"/>
      <c r="Q15" s="73"/>
      <c r="R15" s="73"/>
    </row>
    <row r="16" spans="1:18" ht="23.25" x14ac:dyDescent="0.45">
      <c r="A16" s="212"/>
      <c r="B16" s="28" t="str">
        <f>IF('Données brutes'!C69="Oui",'Données brutes'!B69,"-")</f>
        <v>-</v>
      </c>
      <c r="C16" s="25">
        <f>IF('Données brutes'!C69="",0,IF(B16=H16,I16,K16))</f>
        <v>0</v>
      </c>
      <c r="D16" s="161"/>
      <c r="E16" s="215"/>
      <c r="F16" s="214"/>
      <c r="H16" s="73" t="s">
        <v>270</v>
      </c>
      <c r="I16" s="73">
        <v>0</v>
      </c>
      <c r="J16" s="73" t="s">
        <v>217</v>
      </c>
      <c r="K16" s="73">
        <v>3</v>
      </c>
      <c r="L16" s="73"/>
      <c r="M16" s="73"/>
      <c r="N16" s="73"/>
      <c r="O16" s="73"/>
      <c r="P16" s="73"/>
      <c r="Q16" s="73"/>
      <c r="R16" s="73"/>
    </row>
    <row r="17" spans="1:18" ht="23.25" x14ac:dyDescent="0.45">
      <c r="A17" s="212"/>
      <c r="B17" s="27" t="str">
        <f>IF('Données brutes'!C70="Oui",'Données brutes'!B70,"-")</f>
        <v>-</v>
      </c>
      <c r="C17" s="24">
        <f>IF('Données brutes'!C70="",0,IF(B17=H17,I17,K17))</f>
        <v>0</v>
      </c>
      <c r="D17" s="161"/>
      <c r="E17" s="215"/>
      <c r="F17" s="214"/>
      <c r="H17" s="73" t="s">
        <v>270</v>
      </c>
      <c r="I17" s="73">
        <v>0</v>
      </c>
      <c r="J17" s="73" t="s">
        <v>217</v>
      </c>
      <c r="K17" s="73">
        <v>3</v>
      </c>
      <c r="L17" s="73"/>
      <c r="M17" s="73"/>
      <c r="N17" s="73"/>
      <c r="O17" s="73"/>
      <c r="P17" s="73"/>
      <c r="Q17" s="73"/>
      <c r="R17" s="73"/>
    </row>
    <row r="18" spans="1:18" ht="23.25" x14ac:dyDescent="0.45">
      <c r="A18" s="213" t="s">
        <v>55</v>
      </c>
      <c r="B18" s="28" t="str">
        <f>IF('Données brutes'!C71="Oui",'Données brutes'!B71,"-")</f>
        <v>-</v>
      </c>
      <c r="C18" s="25">
        <f>IF('Données brutes'!C71=0,0,IF(B18=H18,I18,K18))</f>
        <v>0</v>
      </c>
      <c r="D18" s="160">
        <v>2</v>
      </c>
      <c r="E18" s="216">
        <f>SUM(C18:C20)*D18</f>
        <v>0</v>
      </c>
      <c r="F18" s="217">
        <f>SUM(K18:K20)*D18</f>
        <v>18</v>
      </c>
      <c r="H18" s="73" t="s">
        <v>270</v>
      </c>
      <c r="I18" s="73">
        <v>0</v>
      </c>
      <c r="J18" s="73" t="s">
        <v>217</v>
      </c>
      <c r="K18" s="73">
        <v>1</v>
      </c>
      <c r="L18" s="73"/>
      <c r="M18" s="73"/>
      <c r="N18" s="73"/>
      <c r="O18" s="73"/>
      <c r="P18" s="73"/>
      <c r="Q18" s="73"/>
      <c r="R18" s="73"/>
    </row>
    <row r="19" spans="1:18" ht="23.25" x14ac:dyDescent="0.45">
      <c r="A19" s="213"/>
      <c r="B19" s="27" t="str">
        <f>IF('Données brutes'!C72="Oui",'Données brutes'!B72,"-")</f>
        <v>-</v>
      </c>
      <c r="C19" s="24">
        <f>IF('Données brutes'!C72="",0,IF(B19=H19,I19,K19))</f>
        <v>0</v>
      </c>
      <c r="D19" s="160"/>
      <c r="E19" s="216"/>
      <c r="F19" s="217"/>
      <c r="H19" s="73" t="s">
        <v>270</v>
      </c>
      <c r="I19" s="73">
        <v>0</v>
      </c>
      <c r="J19" s="73" t="s">
        <v>217</v>
      </c>
      <c r="K19" s="73">
        <v>3</v>
      </c>
      <c r="L19" s="73"/>
      <c r="M19" s="73"/>
      <c r="N19" s="73"/>
      <c r="O19" s="73"/>
      <c r="P19" s="73"/>
      <c r="Q19" s="73"/>
      <c r="R19" s="73"/>
    </row>
    <row r="20" spans="1:18" ht="23.25" x14ac:dyDescent="0.45">
      <c r="A20" s="213"/>
      <c r="B20" s="28" t="str">
        <f>IF('Données brutes'!C73="Oui",'Données brutes'!B73,"-")</f>
        <v>-</v>
      </c>
      <c r="C20" s="25">
        <f>IF('Données brutes'!C73="",0,IF(B20=H20,I20,K20))</f>
        <v>0</v>
      </c>
      <c r="D20" s="160"/>
      <c r="E20" s="216"/>
      <c r="F20" s="217"/>
      <c r="H20" s="73" t="s">
        <v>270</v>
      </c>
      <c r="I20" s="73">
        <v>0</v>
      </c>
      <c r="J20" s="73" t="s">
        <v>217</v>
      </c>
      <c r="K20" s="73">
        <v>5</v>
      </c>
      <c r="L20" s="73"/>
      <c r="M20" s="73"/>
      <c r="N20" s="73"/>
      <c r="O20" s="73"/>
      <c r="P20" s="73"/>
      <c r="Q20" s="73"/>
      <c r="R20" s="73"/>
    </row>
    <row r="21" spans="1:18" ht="28.5" x14ac:dyDescent="0.45">
      <c r="A21" s="94" t="s">
        <v>56</v>
      </c>
      <c r="B21" s="27">
        <f>'Données brutes'!B74</f>
        <v>0</v>
      </c>
      <c r="C21" s="24">
        <f>IF(B21=0,0,IF(B21=H21,I21,IF(B21=J21,K21,M21)))</f>
        <v>0</v>
      </c>
      <c r="D21" s="86">
        <v>2</v>
      </c>
      <c r="E21" s="24">
        <f t="shared" si="0"/>
        <v>0</v>
      </c>
      <c r="F21" s="87">
        <f t="shared" si="1"/>
        <v>10</v>
      </c>
      <c r="H21" s="73" t="s">
        <v>216</v>
      </c>
      <c r="I21" s="73">
        <v>0</v>
      </c>
      <c r="J21" s="73" t="s">
        <v>268</v>
      </c>
      <c r="K21" s="73">
        <v>3</v>
      </c>
      <c r="L21" s="73" t="s">
        <v>269</v>
      </c>
      <c r="M21" s="73">
        <v>5</v>
      </c>
      <c r="N21" s="73"/>
      <c r="O21" s="73"/>
      <c r="P21" s="73"/>
      <c r="Q21" s="73"/>
      <c r="R21" s="73"/>
    </row>
    <row r="22" spans="1:18" ht="23.25" x14ac:dyDescent="0.45">
      <c r="A22" s="41" t="s">
        <v>57</v>
      </c>
      <c r="B22" s="28">
        <f>'Données brutes'!B75</f>
        <v>0</v>
      </c>
      <c r="C22" s="25">
        <f>IF(B22=0,0,IF(B22=H22,I22,K22))</f>
        <v>0</v>
      </c>
      <c r="D22" s="88">
        <v>4</v>
      </c>
      <c r="E22" s="25">
        <f t="shared" si="0"/>
        <v>0</v>
      </c>
      <c r="F22" s="89">
        <f t="shared" si="1"/>
        <v>20</v>
      </c>
      <c r="H22" s="73" t="s">
        <v>216</v>
      </c>
      <c r="I22" s="73">
        <v>0</v>
      </c>
      <c r="J22" s="73" t="s">
        <v>217</v>
      </c>
      <c r="K22" s="73">
        <v>5</v>
      </c>
      <c r="L22" s="73"/>
      <c r="M22" s="73"/>
      <c r="N22" s="73"/>
      <c r="O22" s="73"/>
      <c r="P22" s="73"/>
      <c r="Q22" s="73"/>
      <c r="R22" s="73"/>
    </row>
    <row r="23" spans="1:18" ht="28.9" thickBot="1" x14ac:dyDescent="0.5">
      <c r="A23" s="66" t="s">
        <v>100</v>
      </c>
      <c r="B23" s="44">
        <f>'Données brutes'!B76</f>
        <v>0</v>
      </c>
      <c r="C23" s="47">
        <f>IF(B23=0,0,IF(B23=H23,I23,IF(B23=J23,K23,M23)))</f>
        <v>0</v>
      </c>
      <c r="D23" s="90">
        <v>3</v>
      </c>
      <c r="E23" s="47">
        <f>C23*D23</f>
        <v>0</v>
      </c>
      <c r="F23" s="91">
        <f>5*D23</f>
        <v>15</v>
      </c>
      <c r="H23" s="73" t="s">
        <v>276</v>
      </c>
      <c r="I23" s="73">
        <v>0</v>
      </c>
      <c r="J23" s="73" t="s">
        <v>298</v>
      </c>
      <c r="K23" s="73">
        <v>3</v>
      </c>
      <c r="L23" s="73" t="s">
        <v>299</v>
      </c>
      <c r="M23" s="73">
        <v>5</v>
      </c>
      <c r="N23" s="73"/>
      <c r="O23" s="73"/>
      <c r="P23" s="73"/>
      <c r="Q23" s="73"/>
    </row>
    <row r="24" spans="1:18" ht="14.65" thickBot="1" x14ac:dyDescent="0.5"/>
    <row r="25" spans="1:18" ht="18.399999999999999" thickBot="1" x14ac:dyDescent="0.5">
      <c r="A25" s="12" t="s">
        <v>44</v>
      </c>
      <c r="B25" s="10">
        <f>SUM(E5:E23)</f>
        <v>0</v>
      </c>
      <c r="C25" s="181" t="str">
        <f>"sur "&amp;SUM(F5:F23)&amp;" possibles"</f>
        <v>sur 221 possibles</v>
      </c>
      <c r="D25" s="182"/>
    </row>
    <row r="26" spans="1:18" ht="18.399999999999999" thickBot="1" x14ac:dyDescent="0.5">
      <c r="A26" s="2"/>
      <c r="B26" s="2"/>
      <c r="C26" s="6"/>
    </row>
    <row r="27" spans="1:18" ht="18.399999999999999" thickBot="1" x14ac:dyDescent="0.5">
      <c r="A27" s="14" t="s">
        <v>45</v>
      </c>
      <c r="B27" s="11">
        <f>IF(INT(10*B25/SUM(F5:F23))+1&gt;10,10,INT(10*B25/SUM(F5:F23))+1)</f>
        <v>1</v>
      </c>
      <c r="C27" s="175" t="s">
        <v>24</v>
      </c>
      <c r="D27" s="176"/>
    </row>
  </sheetData>
  <sheetProtection password="CC95" sheet="1" objects="1" scenarios="1"/>
  <mergeCells count="12">
    <mergeCell ref="C27:D27"/>
    <mergeCell ref="D15:D17"/>
    <mergeCell ref="F15:F17"/>
    <mergeCell ref="E15:E17"/>
    <mergeCell ref="E18:E20"/>
    <mergeCell ref="F18:F20"/>
    <mergeCell ref="D18:D20"/>
    <mergeCell ref="D1:E1"/>
    <mergeCell ref="D2:E2"/>
    <mergeCell ref="A15:A17"/>
    <mergeCell ref="A18:A20"/>
    <mergeCell ref="C25:D25"/>
  </mergeCells>
  <conditionalFormatting sqref="E5">
    <cfRule type="iconSet" priority="15">
      <iconSet>
        <cfvo type="percent" val="0"/>
        <cfvo type="formula" val="0.4*$F$5"/>
        <cfvo type="formula" val="0.8*$F$5"/>
      </iconSet>
    </cfRule>
  </conditionalFormatting>
  <conditionalFormatting sqref="E6">
    <cfRule type="iconSet" priority="14">
      <iconSet>
        <cfvo type="percent" val="0"/>
        <cfvo type="formula" val="0.4*$F$6"/>
        <cfvo type="formula" val="0.8*$F$6"/>
      </iconSet>
    </cfRule>
  </conditionalFormatting>
  <conditionalFormatting sqref="E7">
    <cfRule type="iconSet" priority="13">
      <iconSet>
        <cfvo type="percent" val="0"/>
        <cfvo type="formula" val="0.4*$F$7"/>
        <cfvo type="formula" val="0.8*$F$7"/>
      </iconSet>
    </cfRule>
  </conditionalFormatting>
  <conditionalFormatting sqref="E8">
    <cfRule type="iconSet" priority="12">
      <iconSet>
        <cfvo type="percent" val="0"/>
        <cfvo type="formula" val="0.4*$F$8"/>
        <cfvo type="formula" val="0.8*$F$8"/>
      </iconSet>
    </cfRule>
  </conditionalFormatting>
  <conditionalFormatting sqref="E9">
    <cfRule type="iconSet" priority="11">
      <iconSet>
        <cfvo type="percent" val="0"/>
        <cfvo type="formula" val="0.4*$F$9"/>
        <cfvo type="formula" val="0.8*$F$9"/>
      </iconSet>
    </cfRule>
  </conditionalFormatting>
  <conditionalFormatting sqref="E10">
    <cfRule type="iconSet" priority="10">
      <iconSet>
        <cfvo type="percent" val="0"/>
        <cfvo type="formula" val="0.4*$F$10"/>
        <cfvo type="formula" val="0.8*$F$10"/>
      </iconSet>
    </cfRule>
  </conditionalFormatting>
  <conditionalFormatting sqref="E11">
    <cfRule type="iconSet" priority="9">
      <iconSet>
        <cfvo type="percent" val="0"/>
        <cfvo type="formula" val="0.4*$F$11"/>
        <cfvo type="formula" val="0.8*$F$11"/>
      </iconSet>
    </cfRule>
  </conditionalFormatting>
  <conditionalFormatting sqref="E12">
    <cfRule type="iconSet" priority="8">
      <iconSet>
        <cfvo type="percent" val="0"/>
        <cfvo type="formula" val="0.4*$F$12"/>
        <cfvo type="formula" val="0.8*$F$12"/>
      </iconSet>
    </cfRule>
  </conditionalFormatting>
  <conditionalFormatting sqref="E13">
    <cfRule type="iconSet" priority="7">
      <iconSet>
        <cfvo type="percent" val="0"/>
        <cfvo type="formula" val="0.4*$F$13"/>
        <cfvo type="formula" val="0.8*$F$13"/>
      </iconSet>
    </cfRule>
  </conditionalFormatting>
  <conditionalFormatting sqref="E14">
    <cfRule type="iconSet" priority="6">
      <iconSet>
        <cfvo type="percent" val="0"/>
        <cfvo type="formula" val="0.4*$F$14"/>
        <cfvo type="formula" val="0.8*$F$14"/>
      </iconSet>
    </cfRule>
  </conditionalFormatting>
  <conditionalFormatting sqref="E15">
    <cfRule type="iconSet" priority="5">
      <iconSet>
        <cfvo type="percent" val="0"/>
        <cfvo type="formula" val="0.4*$F$15"/>
        <cfvo type="formula" val="0.8*$F$15"/>
      </iconSet>
    </cfRule>
  </conditionalFormatting>
  <conditionalFormatting sqref="E18">
    <cfRule type="iconSet" priority="4">
      <iconSet>
        <cfvo type="percent" val="0"/>
        <cfvo type="formula" val="0.4*$F$18"/>
        <cfvo type="formula" val="0.8*$F$18"/>
      </iconSet>
    </cfRule>
  </conditionalFormatting>
  <conditionalFormatting sqref="E21">
    <cfRule type="iconSet" priority="3">
      <iconSet>
        <cfvo type="percent" val="0"/>
        <cfvo type="formula" val="0.4*$F$21"/>
        <cfvo type="formula" val="0.8*$F$21"/>
      </iconSet>
    </cfRule>
  </conditionalFormatting>
  <conditionalFormatting sqref="E22">
    <cfRule type="iconSet" priority="2">
      <iconSet>
        <cfvo type="percent" val="0"/>
        <cfvo type="formula" val="0.4*$F$22"/>
        <cfvo type="formula" val="0.8*$F$22"/>
      </iconSet>
    </cfRule>
  </conditionalFormatting>
  <conditionalFormatting sqref="E23">
    <cfRule type="iconSet" priority="1">
      <iconSet>
        <cfvo type="percent" val="0"/>
        <cfvo type="formula" val="0.4*$F$23"/>
        <cfvo type="formula" val="0.8*$F$23"/>
      </iconSet>
    </cfRule>
  </conditionalFormatting>
  <pageMargins left="0.23622047244094488" right="0.23622047244094488" top="0.23622047244094488" bottom="0.23622047244094488" header="0.31496062992125984" footer="0.31496062992125984"/>
  <pageSetup paperSize="9" scale="85" orientation="landscape" r:id="rId1"/>
  <ignoredErrors>
    <ignoredError sqref="F15 F18" formulaRange="1"/>
    <ignoredError sqref="C15 C10 C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FF00"/>
    <pageSetUpPr fitToPage="1"/>
  </sheetPr>
  <dimension ref="A1:Y20"/>
  <sheetViews>
    <sheetView workbookViewId="0">
      <selection activeCell="C15" sqref="C15"/>
    </sheetView>
  </sheetViews>
  <sheetFormatPr baseColWidth="10" defaultRowHeight="14.25" x14ac:dyDescent="0.45"/>
  <cols>
    <col min="1" max="1" width="57.53125" style="1" customWidth="1"/>
    <col min="2" max="2" width="24.46484375" style="1" customWidth="1"/>
    <col min="3" max="3" width="16.1328125" style="5" customWidth="1"/>
    <col min="4" max="4" width="8.33203125" style="5" bestFit="1" customWidth="1"/>
    <col min="5" max="5" width="17.33203125" style="5" customWidth="1"/>
    <col min="6" max="6" width="10.6640625" style="5" bestFit="1" customWidth="1"/>
    <col min="8" max="8" width="20.46484375" hidden="1" customWidth="1"/>
    <col min="9" max="9" width="2" hidden="1" customWidth="1"/>
    <col min="10" max="10" width="38" hidden="1" customWidth="1"/>
    <col min="11" max="11" width="2" hidden="1" customWidth="1"/>
    <col min="12" max="12" width="26.1328125" hidden="1" customWidth="1"/>
    <col min="13" max="13" width="2" hidden="1" customWidth="1"/>
    <col min="14" max="14" width="28.1328125" hidden="1" customWidth="1"/>
    <col min="15" max="15" width="2" hidden="1" customWidth="1"/>
    <col min="16" max="16" width="24.53125" hidden="1" customWidth="1"/>
    <col min="17" max="17" width="3.1328125" hidden="1" customWidth="1"/>
    <col min="18" max="25" width="11.46484375" hidden="1" customWidth="1"/>
    <col min="26" max="26" width="0" hidden="1" customWidth="1"/>
  </cols>
  <sheetData>
    <row r="1" spans="1:17" ht="25.9" thickBot="1" x14ac:dyDescent="0.5">
      <c r="A1" s="9" t="s">
        <v>58</v>
      </c>
      <c r="C1" s="101" t="s">
        <v>319</v>
      </c>
      <c r="D1" s="173" t="str">
        <f>B18&amp;" "&amp;C18</f>
        <v>0 sur 175 possibles</v>
      </c>
      <c r="E1" s="174"/>
    </row>
    <row r="2" spans="1:17" ht="18.399999999999999" thickBot="1" x14ac:dyDescent="0.5">
      <c r="C2" s="14" t="s">
        <v>320</v>
      </c>
      <c r="D2" s="175" t="str">
        <f>B20&amp;" "&amp;C20</f>
        <v>1 sur 10</v>
      </c>
      <c r="E2" s="176"/>
    </row>
    <row r="3" spans="1:17" ht="14.65" thickBot="1" x14ac:dyDescent="0.5"/>
    <row r="4" spans="1:17" ht="47.65" thickBot="1" x14ac:dyDescent="0.5">
      <c r="A4" s="96" t="s">
        <v>0</v>
      </c>
      <c r="B4" s="97" t="s">
        <v>1</v>
      </c>
      <c r="C4" s="97" t="s">
        <v>214</v>
      </c>
      <c r="D4" s="98" t="s">
        <v>2</v>
      </c>
      <c r="E4" s="97" t="s">
        <v>12</v>
      </c>
      <c r="F4" s="99" t="s">
        <v>225</v>
      </c>
    </row>
    <row r="5" spans="1:17" ht="42.75" x14ac:dyDescent="0.45">
      <c r="A5" s="77" t="s">
        <v>61</v>
      </c>
      <c r="B5" s="75">
        <f>'Données brutes'!B79</f>
        <v>0</v>
      </c>
      <c r="C5" s="78">
        <f>IF(B5=0,0,IF(B5=H5,I5,IF(B5=J5,K5,IF(B5=L5,M5,O5))))</f>
        <v>0</v>
      </c>
      <c r="D5" s="92">
        <v>4</v>
      </c>
      <c r="E5" s="78">
        <f>C5*D5</f>
        <v>0</v>
      </c>
      <c r="F5" s="93">
        <f>5*D5</f>
        <v>20</v>
      </c>
      <c r="H5" s="73" t="s">
        <v>216</v>
      </c>
      <c r="I5" s="73">
        <v>0</v>
      </c>
      <c r="J5" s="73" t="s">
        <v>278</v>
      </c>
      <c r="K5" s="73">
        <v>3</v>
      </c>
      <c r="L5" s="73" t="s">
        <v>284</v>
      </c>
      <c r="M5" s="73">
        <v>3</v>
      </c>
      <c r="N5" s="73" t="s">
        <v>279</v>
      </c>
      <c r="O5" s="73">
        <v>5</v>
      </c>
      <c r="P5" s="73"/>
      <c r="Q5" s="73"/>
    </row>
    <row r="6" spans="1:17" ht="28.5" x14ac:dyDescent="0.45">
      <c r="A6" s="41" t="s">
        <v>62</v>
      </c>
      <c r="B6" s="28">
        <f>'Données brutes'!B80</f>
        <v>0</v>
      </c>
      <c r="C6" s="25">
        <f>IF(B6=0,0,IF(B6=H6,I6,K6))</f>
        <v>0</v>
      </c>
      <c r="D6" s="88">
        <v>4</v>
      </c>
      <c r="E6" s="25">
        <f t="shared" ref="E6:E13" si="0">C6*D6</f>
        <v>0</v>
      </c>
      <c r="F6" s="89">
        <f t="shared" ref="F6:F13" si="1">5*D6</f>
        <v>20</v>
      </c>
      <c r="H6" s="73" t="s">
        <v>216</v>
      </c>
      <c r="I6" s="73">
        <v>0</v>
      </c>
      <c r="J6" s="73" t="s">
        <v>217</v>
      </c>
      <c r="K6" s="73">
        <v>5</v>
      </c>
      <c r="L6" s="73"/>
      <c r="M6" s="73"/>
      <c r="N6" s="73"/>
      <c r="O6" s="73"/>
      <c r="P6" s="73"/>
      <c r="Q6" s="73"/>
    </row>
    <row r="7" spans="1:17" ht="42.75" x14ac:dyDescent="0.45">
      <c r="A7" s="94" t="s">
        <v>63</v>
      </c>
      <c r="B7" s="27">
        <f>'Données brutes'!B81</f>
        <v>0</v>
      </c>
      <c r="C7" s="24">
        <f>IF(B7=0,0,IF(B7=H7,I7,K7))</f>
        <v>0</v>
      </c>
      <c r="D7" s="86">
        <v>4</v>
      </c>
      <c r="E7" s="24">
        <f t="shared" si="0"/>
        <v>0</v>
      </c>
      <c r="F7" s="87">
        <f t="shared" si="1"/>
        <v>20</v>
      </c>
      <c r="H7" s="73" t="s">
        <v>216</v>
      </c>
      <c r="I7" s="73">
        <v>0</v>
      </c>
      <c r="J7" s="73" t="s">
        <v>217</v>
      </c>
      <c r="K7" s="73">
        <v>5</v>
      </c>
      <c r="L7" s="73"/>
      <c r="M7" s="73"/>
      <c r="N7" s="73"/>
      <c r="O7" s="73"/>
      <c r="P7" s="73"/>
      <c r="Q7" s="73"/>
    </row>
    <row r="8" spans="1:17" ht="42.75" x14ac:dyDescent="0.45">
      <c r="A8" s="41" t="s">
        <v>64</v>
      </c>
      <c r="B8" s="28">
        <f>'Données brutes'!B82</f>
        <v>0</v>
      </c>
      <c r="C8" s="25">
        <f>IF(B8=0,0,IF(B8=H8,I8,IF(B8=J8,K8,IF(B8=L8,M8,O8))))</f>
        <v>0</v>
      </c>
      <c r="D8" s="88">
        <v>3</v>
      </c>
      <c r="E8" s="25">
        <f t="shared" si="0"/>
        <v>0</v>
      </c>
      <c r="F8" s="89">
        <f t="shared" si="1"/>
        <v>15</v>
      </c>
      <c r="H8" s="73" t="s">
        <v>216</v>
      </c>
      <c r="I8" s="73">
        <v>0</v>
      </c>
      <c r="J8" s="73" t="s">
        <v>280</v>
      </c>
      <c r="K8" s="73">
        <v>1</v>
      </c>
      <c r="L8" s="73" t="s">
        <v>281</v>
      </c>
      <c r="M8" s="73">
        <v>3</v>
      </c>
      <c r="N8" s="73" t="s">
        <v>282</v>
      </c>
      <c r="O8" s="73">
        <v>5</v>
      </c>
      <c r="P8" s="73"/>
      <c r="Q8" s="73"/>
    </row>
    <row r="9" spans="1:17" ht="42.75" x14ac:dyDescent="0.45">
      <c r="A9" s="94" t="s">
        <v>329</v>
      </c>
      <c r="B9" s="27">
        <f>'Données brutes'!B83</f>
        <v>0</v>
      </c>
      <c r="C9" s="24">
        <f t="shared" ref="C9:C11" si="2">IF(B9=0,0,IF(B9=H9,I9,IF(B9=J9,K9,IF(B9=L9,M9,O9))))</f>
        <v>0</v>
      </c>
      <c r="D9" s="86">
        <v>3</v>
      </c>
      <c r="E9" s="24">
        <f t="shared" si="0"/>
        <v>0</v>
      </c>
      <c r="F9" s="87">
        <f t="shared" si="1"/>
        <v>15</v>
      </c>
      <c r="H9" s="73" t="s">
        <v>216</v>
      </c>
      <c r="I9" s="73">
        <v>0</v>
      </c>
      <c r="J9" s="73" t="s">
        <v>280</v>
      </c>
      <c r="K9" s="73">
        <v>1</v>
      </c>
      <c r="L9" s="73" t="s">
        <v>281</v>
      </c>
      <c r="M9" s="73">
        <v>3</v>
      </c>
      <c r="N9" s="73" t="s">
        <v>282</v>
      </c>
      <c r="O9" s="73">
        <v>5</v>
      </c>
      <c r="P9" s="73"/>
      <c r="Q9" s="73"/>
    </row>
    <row r="10" spans="1:17" ht="42.75" x14ac:dyDescent="0.45">
      <c r="A10" s="41" t="s">
        <v>65</v>
      </c>
      <c r="B10" s="28">
        <f>'Données brutes'!B84</f>
        <v>0</v>
      </c>
      <c r="C10" s="25">
        <f>IF(B10=0,0,IF(B10=H10,I10,IF(B10=J10,K10,M10)))</f>
        <v>0</v>
      </c>
      <c r="D10" s="88">
        <v>3</v>
      </c>
      <c r="E10" s="25">
        <f t="shared" si="0"/>
        <v>0</v>
      </c>
      <c r="F10" s="89">
        <f t="shared" si="1"/>
        <v>15</v>
      </c>
      <c r="H10" s="73" t="s">
        <v>271</v>
      </c>
      <c r="I10" s="73">
        <v>0</v>
      </c>
      <c r="J10" s="73" t="s">
        <v>238</v>
      </c>
      <c r="K10" s="73">
        <v>3</v>
      </c>
      <c r="L10" s="73" t="s">
        <v>240</v>
      </c>
      <c r="M10" s="73">
        <v>5</v>
      </c>
      <c r="N10" s="73"/>
      <c r="O10" s="73"/>
      <c r="P10" s="73"/>
      <c r="Q10" s="73"/>
    </row>
    <row r="11" spans="1:17" ht="42.75" x14ac:dyDescent="0.45">
      <c r="A11" s="94" t="s">
        <v>330</v>
      </c>
      <c r="B11" s="27">
        <f>'Données brutes'!B85</f>
        <v>0</v>
      </c>
      <c r="C11" s="24">
        <f t="shared" si="2"/>
        <v>0</v>
      </c>
      <c r="D11" s="86">
        <v>2</v>
      </c>
      <c r="E11" s="24">
        <f t="shared" si="0"/>
        <v>0</v>
      </c>
      <c r="F11" s="87">
        <f t="shared" si="1"/>
        <v>10</v>
      </c>
      <c r="H11" s="73" t="s">
        <v>216</v>
      </c>
      <c r="I11" s="73">
        <v>0</v>
      </c>
      <c r="J11" s="73" t="s">
        <v>280</v>
      </c>
      <c r="K11" s="73">
        <v>1</v>
      </c>
      <c r="L11" s="73" t="s">
        <v>281</v>
      </c>
      <c r="M11" s="73">
        <v>3</v>
      </c>
      <c r="N11" s="73" t="s">
        <v>282</v>
      </c>
      <c r="O11" s="73">
        <v>5</v>
      </c>
      <c r="P11" s="73"/>
      <c r="Q11" s="73"/>
    </row>
    <row r="12" spans="1:17" ht="28.5" x14ac:dyDescent="0.45">
      <c r="A12" s="41" t="s">
        <v>66</v>
      </c>
      <c r="B12" s="28">
        <f>'Données brutes'!B86</f>
        <v>0</v>
      </c>
      <c r="C12" s="25">
        <f>IF(B12=0,0,IF(B12=H12,I12,IF(B12=J12,K12,M12)))</f>
        <v>0</v>
      </c>
      <c r="D12" s="88">
        <v>3</v>
      </c>
      <c r="E12" s="25">
        <f t="shared" si="0"/>
        <v>0</v>
      </c>
      <c r="F12" s="89">
        <f t="shared" si="1"/>
        <v>15</v>
      </c>
      <c r="H12" s="73" t="s">
        <v>235</v>
      </c>
      <c r="I12" s="73">
        <v>0</v>
      </c>
      <c r="J12" s="73" t="s">
        <v>283</v>
      </c>
      <c r="K12" s="73">
        <v>3</v>
      </c>
      <c r="L12" s="73" t="s">
        <v>239</v>
      </c>
      <c r="M12" s="73">
        <v>5</v>
      </c>
      <c r="N12" s="73"/>
      <c r="O12" s="73"/>
      <c r="P12" s="73"/>
      <c r="Q12" s="73"/>
    </row>
    <row r="13" spans="1:17" ht="48.75" customHeight="1" x14ac:dyDescent="0.45">
      <c r="A13" s="61" t="s">
        <v>67</v>
      </c>
      <c r="B13" s="27">
        <f>'Données brutes'!B87</f>
        <v>0</v>
      </c>
      <c r="C13" s="24">
        <f>IF(B13=0,0,IF(B13=H13,I13,K13))</f>
        <v>0</v>
      </c>
      <c r="D13" s="86">
        <v>3</v>
      </c>
      <c r="E13" s="24">
        <f t="shared" si="0"/>
        <v>0</v>
      </c>
      <c r="F13" s="87">
        <f t="shared" si="1"/>
        <v>15</v>
      </c>
      <c r="H13" s="73" t="s">
        <v>216</v>
      </c>
      <c r="I13" s="73">
        <v>0</v>
      </c>
      <c r="J13" s="73" t="s">
        <v>217</v>
      </c>
      <c r="K13" s="73">
        <v>5</v>
      </c>
      <c r="L13" s="73"/>
      <c r="M13" s="73"/>
      <c r="N13" s="73"/>
      <c r="O13" s="73"/>
      <c r="P13" s="73"/>
      <c r="Q13" s="73"/>
    </row>
    <row r="14" spans="1:17" ht="28.5" x14ac:dyDescent="0.45">
      <c r="A14" s="41" t="s">
        <v>68</v>
      </c>
      <c r="B14" s="28">
        <f>'Données brutes'!B88</f>
        <v>0</v>
      </c>
      <c r="C14" s="25">
        <f>IF(B14=0,0,IF(B14=H14,I14,IF(B14=J14,K14,IF(B14=L14,M14,O14))))</f>
        <v>0</v>
      </c>
      <c r="D14" s="88">
        <v>3</v>
      </c>
      <c r="E14" s="25">
        <f>C14*D14</f>
        <v>0</v>
      </c>
      <c r="F14" s="89">
        <f>5*D14</f>
        <v>15</v>
      </c>
      <c r="H14" s="73" t="s">
        <v>216</v>
      </c>
      <c r="I14" s="73">
        <v>0</v>
      </c>
      <c r="J14" s="73" t="s">
        <v>280</v>
      </c>
      <c r="K14" s="73">
        <v>1</v>
      </c>
      <c r="L14" s="73" t="s">
        <v>281</v>
      </c>
      <c r="M14" s="73">
        <v>3</v>
      </c>
      <c r="N14" s="73" t="s">
        <v>282</v>
      </c>
      <c r="O14" s="73">
        <v>5</v>
      </c>
      <c r="P14" s="73"/>
      <c r="Q14" s="73"/>
    </row>
    <row r="15" spans="1:17" ht="28.9" thickBot="1" x14ac:dyDescent="0.5">
      <c r="A15" s="43" t="s">
        <v>313</v>
      </c>
      <c r="B15" s="44">
        <f>'Données brutes'!B89</f>
        <v>0</v>
      </c>
      <c r="C15" s="47">
        <f>IF(B15=0,0,IF(B15=H15,I15,IF(B15=J15,K15,IF(B15=L15,M15,O15))))</f>
        <v>0</v>
      </c>
      <c r="D15" s="90">
        <v>3</v>
      </c>
      <c r="E15" s="47">
        <f>C15*D15</f>
        <v>0</v>
      </c>
      <c r="F15" s="91">
        <f>5*D15</f>
        <v>15</v>
      </c>
      <c r="H15" s="73" t="s">
        <v>216</v>
      </c>
      <c r="I15" s="73">
        <v>0</v>
      </c>
      <c r="J15" s="73" t="s">
        <v>280</v>
      </c>
      <c r="K15" s="73">
        <v>1</v>
      </c>
      <c r="L15" s="73" t="s">
        <v>281</v>
      </c>
      <c r="M15" s="73">
        <v>3</v>
      </c>
      <c r="N15" s="73" t="s">
        <v>282</v>
      </c>
      <c r="O15" s="73">
        <v>5</v>
      </c>
    </row>
    <row r="17" spans="1:4" ht="14.65" thickBot="1" x14ac:dyDescent="0.5"/>
    <row r="18" spans="1:4" ht="18.399999999999999" thickBot="1" x14ac:dyDescent="0.5">
      <c r="A18" s="12" t="s">
        <v>59</v>
      </c>
      <c r="B18" s="10">
        <f>SUM(E5:E15)</f>
        <v>0</v>
      </c>
      <c r="C18" s="181" t="str">
        <f>"sur "&amp;SUM(F5:F15)&amp;" possibles"</f>
        <v>sur 175 possibles</v>
      </c>
      <c r="D18" s="182"/>
    </row>
    <row r="19" spans="1:4" ht="18.399999999999999" thickBot="1" x14ac:dyDescent="0.5">
      <c r="A19" s="2"/>
      <c r="B19" s="2"/>
      <c r="C19" s="6"/>
    </row>
    <row r="20" spans="1:4" ht="18.399999999999999" thickBot="1" x14ac:dyDescent="0.5">
      <c r="A20" s="14" t="s">
        <v>60</v>
      </c>
      <c r="B20" s="11">
        <f>IF(INT(10*B18/SUM(F5:F15))+1&gt;10,10,INT(10*B18/SUM(F5:F15))+1)</f>
        <v>1</v>
      </c>
      <c r="C20" s="175" t="s">
        <v>24</v>
      </c>
      <c r="D20" s="176"/>
    </row>
  </sheetData>
  <sheetProtection password="CC95" sheet="1" objects="1" scenarios="1"/>
  <mergeCells count="4">
    <mergeCell ref="C18:D18"/>
    <mergeCell ref="C20:D20"/>
    <mergeCell ref="D1:E1"/>
    <mergeCell ref="D2:E2"/>
  </mergeCells>
  <conditionalFormatting sqref="E5">
    <cfRule type="iconSet" priority="11">
      <iconSet>
        <cfvo type="percent" val="0"/>
        <cfvo type="formula" val="0.4*$F$5"/>
        <cfvo type="formula" val="0.8*$F$5"/>
      </iconSet>
    </cfRule>
  </conditionalFormatting>
  <conditionalFormatting sqref="E6">
    <cfRule type="iconSet" priority="10">
      <iconSet>
        <cfvo type="percent" val="0"/>
        <cfvo type="formula" val="0.4*$F$6"/>
        <cfvo type="formula" val="0.8*$F$6"/>
      </iconSet>
    </cfRule>
  </conditionalFormatting>
  <conditionalFormatting sqref="E7">
    <cfRule type="iconSet" priority="9">
      <iconSet>
        <cfvo type="percent" val="0"/>
        <cfvo type="formula" val="0.4*$F$7"/>
        <cfvo type="formula" val="0.8*$F$7"/>
      </iconSet>
    </cfRule>
  </conditionalFormatting>
  <conditionalFormatting sqref="E8">
    <cfRule type="iconSet" priority="8">
      <iconSet>
        <cfvo type="percent" val="0"/>
        <cfvo type="formula" val="0.4*$F$8"/>
        <cfvo type="formula" val="0.8*$F$8"/>
      </iconSet>
    </cfRule>
  </conditionalFormatting>
  <conditionalFormatting sqref="E9">
    <cfRule type="iconSet" priority="7">
      <iconSet>
        <cfvo type="percent" val="0"/>
        <cfvo type="formula" val="0.4*$F$9"/>
        <cfvo type="formula" val="0.8*$F$9"/>
      </iconSet>
    </cfRule>
  </conditionalFormatting>
  <conditionalFormatting sqref="E10">
    <cfRule type="iconSet" priority="6">
      <iconSet>
        <cfvo type="percent" val="0"/>
        <cfvo type="formula" val="0.4*$F$10"/>
        <cfvo type="formula" val="0.8*$F$10"/>
      </iconSet>
    </cfRule>
  </conditionalFormatting>
  <conditionalFormatting sqref="E11">
    <cfRule type="iconSet" priority="5">
      <iconSet>
        <cfvo type="percent" val="0"/>
        <cfvo type="formula" val="0.4*$F$11"/>
        <cfvo type="formula" val="0.8*$F$11"/>
      </iconSet>
    </cfRule>
  </conditionalFormatting>
  <conditionalFormatting sqref="E12">
    <cfRule type="iconSet" priority="4">
      <iconSet>
        <cfvo type="percent" val="0"/>
        <cfvo type="formula" val="0.4*$F$12"/>
        <cfvo type="formula" val="0.8*$F$12"/>
      </iconSet>
    </cfRule>
  </conditionalFormatting>
  <conditionalFormatting sqref="E13">
    <cfRule type="iconSet" priority="3">
      <iconSet>
        <cfvo type="percent" val="0"/>
        <cfvo type="formula" val="0.4*$F$13"/>
        <cfvo type="formula" val="0.8*$F$13"/>
      </iconSet>
    </cfRule>
  </conditionalFormatting>
  <conditionalFormatting sqref="E14">
    <cfRule type="iconSet" priority="2">
      <iconSet>
        <cfvo type="percent" val="0"/>
        <cfvo type="formula" val="0.4*$F$14"/>
        <cfvo type="formula" val="0.8*$F$14"/>
      </iconSet>
    </cfRule>
  </conditionalFormatting>
  <conditionalFormatting sqref="E15">
    <cfRule type="iconSet" priority="1">
      <iconSet>
        <cfvo type="percent" val="0"/>
        <cfvo type="num" val="$F$15*0.4"/>
        <cfvo type="formula" val="$F$15*0.8"/>
      </iconSet>
    </cfRule>
  </conditionalFormatting>
  <pageMargins left="0.23622047244094488" right="0.23622047244094488" top="0.23622047244094488" bottom="0.23622047244094488" header="0.31496062992125984" footer="0.31496062992125984"/>
  <pageSetup paperSize="9" scale="91" orientation="landscape" r:id="rId1"/>
  <ignoredErrors>
    <ignoredError sqref="C10:C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FFFF00"/>
    <pageSetUpPr fitToPage="1"/>
  </sheetPr>
  <dimension ref="A1:Y18"/>
  <sheetViews>
    <sheetView topLeftCell="A7" workbookViewId="0">
      <selection activeCell="C16" sqref="C16:D16"/>
    </sheetView>
  </sheetViews>
  <sheetFormatPr baseColWidth="10" defaultRowHeight="14.25" x14ac:dyDescent="0.45"/>
  <cols>
    <col min="1" max="1" width="57.53125" style="1" customWidth="1"/>
    <col min="2" max="2" width="24.46484375" style="1" customWidth="1"/>
    <col min="3" max="3" width="16.1328125" style="5" customWidth="1"/>
    <col min="4" max="4" width="8.33203125" style="5" bestFit="1" customWidth="1"/>
    <col min="5" max="5" width="17.33203125" style="5" customWidth="1"/>
    <col min="6" max="6" width="11.86328125" style="5" customWidth="1"/>
    <col min="8" max="8" width="23.33203125" hidden="1" customWidth="1"/>
    <col min="9" max="9" width="2.46484375" hidden="1" customWidth="1"/>
    <col min="10" max="10" width="23.6640625" hidden="1" customWidth="1"/>
    <col min="11" max="11" width="3" hidden="1" customWidth="1"/>
    <col min="12" max="12" width="22.86328125" hidden="1" customWidth="1"/>
    <col min="13" max="13" width="2.86328125" hidden="1" customWidth="1"/>
    <col min="14" max="14" width="23.86328125" hidden="1" customWidth="1"/>
    <col min="15" max="15" width="3.1328125" hidden="1" customWidth="1"/>
    <col min="16" max="16" width="26.33203125" hidden="1" customWidth="1"/>
    <col min="17" max="17" width="3" hidden="1" customWidth="1"/>
    <col min="18" max="25" width="11.46484375" hidden="1" customWidth="1"/>
    <col min="26" max="26" width="0" hidden="1" customWidth="1"/>
  </cols>
  <sheetData>
    <row r="1" spans="1:13" ht="25.9" thickBot="1" x14ac:dyDescent="0.5">
      <c r="A1" s="9" t="s">
        <v>69</v>
      </c>
      <c r="C1" s="101" t="s">
        <v>319</v>
      </c>
      <c r="D1" s="173" t="str">
        <f>B16&amp;" "&amp;C16</f>
        <v>0 sur 135 possibles</v>
      </c>
      <c r="E1" s="174"/>
    </row>
    <row r="2" spans="1:13" ht="18.399999999999999" thickBot="1" x14ac:dyDescent="0.5">
      <c r="C2" s="14" t="s">
        <v>320</v>
      </c>
      <c r="D2" s="175" t="str">
        <f>B18&amp;" "&amp;C18</f>
        <v>1 sur 10</v>
      </c>
      <c r="E2" s="176"/>
    </row>
    <row r="3" spans="1:13" ht="14.65" thickBot="1" x14ac:dyDescent="0.5"/>
    <row r="4" spans="1:13" ht="47.65" thickBot="1" x14ac:dyDescent="0.5">
      <c r="A4" s="55" t="s">
        <v>0</v>
      </c>
      <c r="B4" s="57" t="s">
        <v>1</v>
      </c>
      <c r="C4" s="57" t="s">
        <v>214</v>
      </c>
      <c r="D4" s="58" t="s">
        <v>2</v>
      </c>
      <c r="E4" s="57" t="s">
        <v>12</v>
      </c>
      <c r="F4" s="59" t="s">
        <v>225</v>
      </c>
    </row>
    <row r="5" spans="1:13" ht="23.25" x14ac:dyDescent="0.45">
      <c r="A5" s="49" t="s">
        <v>72</v>
      </c>
      <c r="B5" s="51">
        <f>'Données brutes'!B92</f>
        <v>0</v>
      </c>
      <c r="C5" s="26">
        <f>IF(B5=0,0,IF(B5=H5,I5,IF(B5=J5,K5,M5)))</f>
        <v>0</v>
      </c>
      <c r="D5" s="53">
        <v>2</v>
      </c>
      <c r="E5" s="26">
        <f>D5*C5</f>
        <v>0</v>
      </c>
      <c r="F5" s="54">
        <f>5*D5</f>
        <v>10</v>
      </c>
      <c r="H5" s="73" t="s">
        <v>272</v>
      </c>
      <c r="I5" s="73">
        <v>0</v>
      </c>
      <c r="J5" s="73" t="s">
        <v>285</v>
      </c>
      <c r="K5" s="73">
        <v>1</v>
      </c>
      <c r="L5" s="73" t="s">
        <v>286</v>
      </c>
      <c r="M5" s="73">
        <v>5</v>
      </c>
    </row>
    <row r="6" spans="1:13" ht="23.25" x14ac:dyDescent="0.45">
      <c r="A6" s="41" t="s">
        <v>73</v>
      </c>
      <c r="B6" s="72">
        <f>'Données brutes'!B93</f>
        <v>0</v>
      </c>
      <c r="C6" s="71">
        <f t="shared" ref="C6:C12" si="0">IF(B6=0,0,IF(B6=H6,I6,IF(B6=J6,K6,M6)))</f>
        <v>0</v>
      </c>
      <c r="D6" s="22">
        <v>4</v>
      </c>
      <c r="E6" s="95">
        <f t="shared" ref="E6:E13" si="1">D6*C6</f>
        <v>0</v>
      </c>
      <c r="F6" s="42">
        <f t="shared" ref="F6:F13" si="2">5*D6</f>
        <v>20</v>
      </c>
      <c r="H6" s="73" t="s">
        <v>272</v>
      </c>
      <c r="I6" s="73">
        <v>0</v>
      </c>
      <c r="J6" s="73" t="s">
        <v>285</v>
      </c>
      <c r="K6" s="73">
        <v>1</v>
      </c>
      <c r="L6" s="73" t="s">
        <v>286</v>
      </c>
      <c r="M6" s="73">
        <v>5</v>
      </c>
    </row>
    <row r="7" spans="1:13" ht="23.25" x14ac:dyDescent="0.45">
      <c r="A7" s="39" t="s">
        <v>74</v>
      </c>
      <c r="B7" s="51">
        <f>'Données brutes'!B94</f>
        <v>0</v>
      </c>
      <c r="C7" s="26">
        <f t="shared" si="0"/>
        <v>0</v>
      </c>
      <c r="D7" s="18">
        <v>4</v>
      </c>
      <c r="E7" s="26">
        <f t="shared" si="1"/>
        <v>0</v>
      </c>
      <c r="F7" s="40">
        <f t="shared" si="2"/>
        <v>20</v>
      </c>
      <c r="H7" s="73" t="s">
        <v>234</v>
      </c>
      <c r="I7" s="73">
        <v>0</v>
      </c>
      <c r="J7" s="73" t="s">
        <v>285</v>
      </c>
      <c r="K7" s="73">
        <v>1</v>
      </c>
      <c r="L7" s="73" t="s">
        <v>286</v>
      </c>
      <c r="M7" s="73">
        <v>5</v>
      </c>
    </row>
    <row r="8" spans="1:13" ht="28.5" x14ac:dyDescent="0.45">
      <c r="A8" s="41" t="s">
        <v>75</v>
      </c>
      <c r="B8" s="72">
        <f>'Données brutes'!B95</f>
        <v>0</v>
      </c>
      <c r="C8" s="71">
        <f t="shared" si="0"/>
        <v>0</v>
      </c>
      <c r="D8" s="22">
        <v>4</v>
      </c>
      <c r="E8" s="95">
        <f t="shared" si="1"/>
        <v>0</v>
      </c>
      <c r="F8" s="42">
        <f t="shared" si="2"/>
        <v>20</v>
      </c>
      <c r="H8" s="73" t="s">
        <v>234</v>
      </c>
      <c r="I8" s="73">
        <v>0</v>
      </c>
      <c r="J8" s="73" t="s">
        <v>285</v>
      </c>
      <c r="K8" s="73">
        <v>1</v>
      </c>
      <c r="L8" s="73" t="s">
        <v>286</v>
      </c>
      <c r="M8" s="73">
        <v>5</v>
      </c>
    </row>
    <row r="9" spans="1:13" ht="28.5" x14ac:dyDescent="0.45">
      <c r="A9" s="39" t="s">
        <v>76</v>
      </c>
      <c r="B9" s="51">
        <f>'Données brutes'!B96</f>
        <v>0</v>
      </c>
      <c r="C9" s="26">
        <f t="shared" si="0"/>
        <v>0</v>
      </c>
      <c r="D9" s="18">
        <v>4</v>
      </c>
      <c r="E9" s="26">
        <f t="shared" si="1"/>
        <v>0</v>
      </c>
      <c r="F9" s="40">
        <f t="shared" si="2"/>
        <v>20</v>
      </c>
      <c r="H9" s="73" t="s">
        <v>234</v>
      </c>
      <c r="I9" s="73">
        <v>0</v>
      </c>
      <c r="J9" s="73" t="s">
        <v>285</v>
      </c>
      <c r="K9" s="73">
        <v>1</v>
      </c>
      <c r="L9" s="73" t="s">
        <v>286</v>
      </c>
      <c r="M9" s="73">
        <v>5</v>
      </c>
    </row>
    <row r="10" spans="1:13" ht="28.5" x14ac:dyDescent="0.45">
      <c r="A10" s="41" t="s">
        <v>77</v>
      </c>
      <c r="B10" s="72">
        <f>'Données brutes'!B97</f>
        <v>0</v>
      </c>
      <c r="C10" s="71">
        <f t="shared" si="0"/>
        <v>0</v>
      </c>
      <c r="D10" s="22">
        <v>2</v>
      </c>
      <c r="E10" s="95">
        <f t="shared" si="1"/>
        <v>0</v>
      </c>
      <c r="F10" s="42">
        <f t="shared" si="2"/>
        <v>10</v>
      </c>
      <c r="H10" s="73" t="s">
        <v>234</v>
      </c>
      <c r="I10" s="73">
        <v>0</v>
      </c>
      <c r="J10" s="73" t="s">
        <v>285</v>
      </c>
      <c r="K10" s="73">
        <v>1</v>
      </c>
      <c r="L10" s="73" t="s">
        <v>286</v>
      </c>
      <c r="M10" s="73">
        <v>5</v>
      </c>
    </row>
    <row r="11" spans="1:13" ht="23.25" x14ac:dyDescent="0.45">
      <c r="A11" s="39" t="s">
        <v>78</v>
      </c>
      <c r="B11" s="51">
        <f>'Données brutes'!B98</f>
        <v>0</v>
      </c>
      <c r="C11" s="26">
        <f t="shared" si="0"/>
        <v>0</v>
      </c>
      <c r="D11" s="18">
        <v>4</v>
      </c>
      <c r="E11" s="26">
        <f t="shared" si="1"/>
        <v>0</v>
      </c>
      <c r="F11" s="40">
        <f t="shared" si="2"/>
        <v>20</v>
      </c>
      <c r="H11" s="73" t="s">
        <v>234</v>
      </c>
      <c r="I11" s="73">
        <v>0</v>
      </c>
      <c r="J11" s="73" t="s">
        <v>285</v>
      </c>
      <c r="K11" s="73">
        <v>1</v>
      </c>
      <c r="L11" s="73" t="s">
        <v>286</v>
      </c>
      <c r="M11" s="73">
        <v>5</v>
      </c>
    </row>
    <row r="12" spans="1:13" ht="23.25" x14ac:dyDescent="0.45">
      <c r="A12" s="41" t="s">
        <v>79</v>
      </c>
      <c r="B12" s="72">
        <f>'Données brutes'!B99</f>
        <v>0</v>
      </c>
      <c r="C12" s="71">
        <f t="shared" si="0"/>
        <v>0</v>
      </c>
      <c r="D12" s="22">
        <v>2</v>
      </c>
      <c r="E12" s="95">
        <f>D12*C12</f>
        <v>0</v>
      </c>
      <c r="F12" s="42">
        <f t="shared" si="2"/>
        <v>10</v>
      </c>
      <c r="H12" s="73" t="s">
        <v>273</v>
      </c>
      <c r="I12" s="73">
        <v>0</v>
      </c>
      <c r="J12" s="73" t="s">
        <v>287</v>
      </c>
      <c r="K12" s="73">
        <v>3</v>
      </c>
      <c r="L12" s="73" t="s">
        <v>288</v>
      </c>
      <c r="M12" s="73">
        <v>5</v>
      </c>
    </row>
    <row r="13" spans="1:13" ht="28.9" thickBot="1" x14ac:dyDescent="0.5">
      <c r="A13" s="66" t="s">
        <v>80</v>
      </c>
      <c r="B13" s="51">
        <f>'Données brutes'!B100</f>
        <v>0</v>
      </c>
      <c r="C13" s="26">
        <f>IF(B13=0,0,IF(B13=H13,I13,M13))</f>
        <v>0</v>
      </c>
      <c r="D13" s="46">
        <v>1</v>
      </c>
      <c r="E13" s="26">
        <f t="shared" si="1"/>
        <v>0</v>
      </c>
      <c r="F13" s="48">
        <f t="shared" si="2"/>
        <v>5</v>
      </c>
      <c r="H13" s="73" t="s">
        <v>216</v>
      </c>
      <c r="I13" s="73">
        <v>0</v>
      </c>
      <c r="J13" s="73" t="s">
        <v>217</v>
      </c>
      <c r="K13" s="73">
        <v>5</v>
      </c>
      <c r="L13" s="73"/>
      <c r="M13" s="73"/>
    </row>
    <row r="15" spans="1:13" ht="14.65" thickBot="1" x14ac:dyDescent="0.5"/>
    <row r="16" spans="1:13" ht="18.399999999999999" thickBot="1" x14ac:dyDescent="0.5">
      <c r="A16" s="12" t="s">
        <v>70</v>
      </c>
      <c r="B16" s="10">
        <f>SUM(E5:E13)</f>
        <v>0</v>
      </c>
      <c r="C16" s="181" t="str">
        <f>"sur "&amp;SUM(F5:F13)&amp;" possibles"</f>
        <v>sur 135 possibles</v>
      </c>
      <c r="D16" s="182"/>
    </row>
    <row r="17" spans="1:4" ht="18.399999999999999" thickBot="1" x14ac:dyDescent="0.5">
      <c r="A17" s="2"/>
      <c r="B17" s="2"/>
      <c r="C17" s="6"/>
    </row>
    <row r="18" spans="1:4" ht="18.399999999999999" thickBot="1" x14ac:dyDescent="0.5">
      <c r="A18" s="14" t="s">
        <v>71</v>
      </c>
      <c r="B18" s="11">
        <f>IF(INT(10*B16/SUM(F5:F13))+1&gt;10,10,INT(10*B16/SUM(F5:F13))+1)</f>
        <v>1</v>
      </c>
      <c r="C18" s="175" t="s">
        <v>24</v>
      </c>
      <c r="D18" s="176"/>
    </row>
  </sheetData>
  <sheetProtection password="CC95" sheet="1" objects="1" scenarios="1"/>
  <mergeCells count="4">
    <mergeCell ref="C16:D16"/>
    <mergeCell ref="C18:D18"/>
    <mergeCell ref="D1:E1"/>
    <mergeCell ref="D2:E2"/>
  </mergeCells>
  <conditionalFormatting sqref="E5">
    <cfRule type="iconSet" priority="10">
      <iconSet>
        <cfvo type="percent" val="0"/>
        <cfvo type="formula" val="0.4*$F$5"/>
        <cfvo type="formula" val="0.8*$F$5"/>
      </iconSet>
    </cfRule>
  </conditionalFormatting>
  <conditionalFormatting sqref="E6">
    <cfRule type="iconSet" priority="9">
      <iconSet>
        <cfvo type="percent" val="0"/>
        <cfvo type="formula" val="0.4*$F$6"/>
        <cfvo type="formula" val="0.8*$F$6"/>
      </iconSet>
    </cfRule>
  </conditionalFormatting>
  <conditionalFormatting sqref="E7">
    <cfRule type="iconSet" priority="8">
      <iconSet>
        <cfvo type="percent" val="0"/>
        <cfvo type="formula" val="0.4*$F$7"/>
        <cfvo type="formula" val="0.8*$F$7"/>
      </iconSet>
    </cfRule>
  </conditionalFormatting>
  <conditionalFormatting sqref="E8">
    <cfRule type="iconSet" priority="7">
      <iconSet>
        <cfvo type="percent" val="0"/>
        <cfvo type="formula" val="0.4*$F$8"/>
        <cfvo type="formula" val="0.8*$F$8"/>
      </iconSet>
    </cfRule>
  </conditionalFormatting>
  <conditionalFormatting sqref="E9">
    <cfRule type="iconSet" priority="6">
      <iconSet>
        <cfvo type="percent" val="0"/>
        <cfvo type="formula" val="0.4*$F$9"/>
        <cfvo type="formula" val="0.8*$F$9"/>
      </iconSet>
    </cfRule>
  </conditionalFormatting>
  <conditionalFormatting sqref="E10">
    <cfRule type="iconSet" priority="5">
      <iconSet>
        <cfvo type="percent" val="0"/>
        <cfvo type="formula" val="0.4*$F$10"/>
        <cfvo type="formula" val="0.8*$F$10"/>
      </iconSet>
    </cfRule>
  </conditionalFormatting>
  <conditionalFormatting sqref="E11">
    <cfRule type="iconSet" priority="4">
      <iconSet>
        <cfvo type="percent" val="0"/>
        <cfvo type="formula" val="0.4*$F$11"/>
        <cfvo type="formula" val="0.8*$F$11"/>
      </iconSet>
    </cfRule>
  </conditionalFormatting>
  <conditionalFormatting sqref="E12">
    <cfRule type="iconSet" priority="2">
      <iconSet>
        <cfvo type="percent" val="0"/>
        <cfvo type="formula" val="0.4*$F$12"/>
        <cfvo type="formula" val="0.8*$F$12"/>
      </iconSet>
    </cfRule>
  </conditionalFormatting>
  <conditionalFormatting sqref="E13">
    <cfRule type="iconSet" priority="1">
      <iconSet>
        <cfvo type="percent" val="0"/>
        <cfvo type="formula" val="0.4*$F$13"/>
        <cfvo type="formula" val="0.8*$F$13"/>
      </iconSet>
    </cfRule>
  </conditionalFormatting>
  <pageMargins left="0.23622047244094488" right="0.23622047244094488" top="0.23622047244094488" bottom="0.23622047244094488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FFFF00"/>
    <pageSetUpPr fitToPage="1"/>
  </sheetPr>
  <dimension ref="A1:Y28"/>
  <sheetViews>
    <sheetView topLeftCell="A13" workbookViewId="0">
      <selection activeCell="C26" sqref="C26:D26"/>
    </sheetView>
  </sheetViews>
  <sheetFormatPr baseColWidth="10" defaultRowHeight="14.25" x14ac:dyDescent="0.45"/>
  <cols>
    <col min="1" max="1" width="57.53125" style="1" customWidth="1"/>
    <col min="2" max="2" width="24.46484375" style="1" customWidth="1"/>
    <col min="3" max="3" width="16.1328125" style="5" customWidth="1"/>
    <col min="4" max="4" width="8.33203125" style="5" bestFit="1" customWidth="1"/>
    <col min="5" max="5" width="17.33203125" style="5" customWidth="1"/>
    <col min="6" max="6" width="10.6640625" style="5" bestFit="1" customWidth="1"/>
    <col min="8" max="8" width="24.33203125" hidden="1" customWidth="1"/>
    <col min="9" max="9" width="3.46484375" hidden="1" customWidth="1"/>
    <col min="10" max="10" width="27.1328125" hidden="1" customWidth="1"/>
    <col min="11" max="11" width="3.1328125" hidden="1" customWidth="1"/>
    <col min="12" max="12" width="28.33203125" hidden="1" customWidth="1"/>
    <col min="13" max="13" width="2.53125" hidden="1" customWidth="1"/>
    <col min="14" max="14" width="30" hidden="1" customWidth="1"/>
    <col min="15" max="15" width="3.53125" hidden="1" customWidth="1"/>
    <col min="16" max="16" width="26.1328125" hidden="1" customWidth="1"/>
    <col min="17" max="17" width="3" hidden="1" customWidth="1"/>
    <col min="18" max="25" width="11.46484375" hidden="1" customWidth="1"/>
    <col min="26" max="26" width="0" hidden="1" customWidth="1"/>
  </cols>
  <sheetData>
    <row r="1" spans="1:17" ht="25.9" thickBot="1" x14ac:dyDescent="0.5">
      <c r="A1" s="9" t="s">
        <v>81</v>
      </c>
      <c r="C1" s="101" t="s">
        <v>319</v>
      </c>
      <c r="D1" s="173" t="str">
        <f>B26&amp;" "&amp;C26</f>
        <v>0 sur 280 possibles</v>
      </c>
      <c r="E1" s="174"/>
    </row>
    <row r="2" spans="1:17" ht="18.399999999999999" thickBot="1" x14ac:dyDescent="0.5">
      <c r="C2" s="14" t="s">
        <v>320</v>
      </c>
      <c r="D2" s="175" t="str">
        <f>B28&amp;" "&amp;C28</f>
        <v>1 sur 10</v>
      </c>
      <c r="E2" s="176"/>
    </row>
    <row r="3" spans="1:17" ht="14.65" thickBot="1" x14ac:dyDescent="0.5"/>
    <row r="4" spans="1:17" ht="47.65" thickBot="1" x14ac:dyDescent="0.5">
      <c r="A4" s="55" t="s">
        <v>0</v>
      </c>
      <c r="B4" s="57" t="s">
        <v>1</v>
      </c>
      <c r="C4" s="57" t="s">
        <v>214</v>
      </c>
      <c r="D4" s="58" t="s">
        <v>2</v>
      </c>
      <c r="E4" s="57" t="s">
        <v>12</v>
      </c>
      <c r="F4" s="59" t="s">
        <v>225</v>
      </c>
    </row>
    <row r="5" spans="1:17" ht="28.5" x14ac:dyDescent="0.45">
      <c r="A5" s="49" t="s">
        <v>82</v>
      </c>
      <c r="B5" s="51">
        <f>'Données brutes'!B103</f>
        <v>0</v>
      </c>
      <c r="C5" s="26">
        <f>IF(B5=0,0,IF(B5=H5,I5,K5))</f>
        <v>0</v>
      </c>
      <c r="D5" s="53">
        <v>1</v>
      </c>
      <c r="E5" s="26">
        <f t="shared" ref="E5:E22" si="0">C5*D5</f>
        <v>0</v>
      </c>
      <c r="F5" s="54">
        <f t="shared" ref="F5:F22" si="1">5*D5</f>
        <v>5</v>
      </c>
      <c r="H5" s="73" t="s">
        <v>274</v>
      </c>
      <c r="I5" s="73">
        <v>0</v>
      </c>
      <c r="J5" s="73" t="s">
        <v>289</v>
      </c>
      <c r="K5" s="73">
        <v>5</v>
      </c>
      <c r="L5" s="73"/>
      <c r="M5" s="73"/>
      <c r="N5" s="73"/>
      <c r="O5" s="73"/>
      <c r="P5" s="73"/>
      <c r="Q5" s="73"/>
    </row>
    <row r="6" spans="1:17" ht="28.5" x14ac:dyDescent="0.45">
      <c r="A6" s="41" t="s">
        <v>83</v>
      </c>
      <c r="B6" s="72">
        <f>'Données brutes'!B104</f>
        <v>0</v>
      </c>
      <c r="C6" s="25">
        <f>IF(B6=0,0,IF(B6=H6,I6,IF(B6=J6,K6,M6)))</f>
        <v>0</v>
      </c>
      <c r="D6" s="22">
        <v>1</v>
      </c>
      <c r="E6" s="95">
        <f t="shared" si="0"/>
        <v>0</v>
      </c>
      <c r="F6" s="42">
        <f t="shared" si="1"/>
        <v>5</v>
      </c>
      <c r="H6" s="73" t="s">
        <v>275</v>
      </c>
      <c r="I6" s="73">
        <v>0</v>
      </c>
      <c r="J6" s="73" t="s">
        <v>290</v>
      </c>
      <c r="K6" s="73">
        <v>3</v>
      </c>
      <c r="L6" s="73" t="s">
        <v>286</v>
      </c>
      <c r="M6" s="73">
        <v>5</v>
      </c>
      <c r="N6" s="73"/>
      <c r="O6" s="73"/>
      <c r="P6" s="73"/>
      <c r="Q6" s="73"/>
    </row>
    <row r="7" spans="1:17" ht="28.5" x14ac:dyDescent="0.45">
      <c r="A7" s="39" t="s">
        <v>84</v>
      </c>
      <c r="B7" s="51">
        <f>'Données brutes'!B105</f>
        <v>0</v>
      </c>
      <c r="C7" s="24">
        <f>IF(B7=0,0,IF(B7=H7,I7,IF(B7=J7,K7,M7)))</f>
        <v>0</v>
      </c>
      <c r="D7" s="18">
        <v>2</v>
      </c>
      <c r="E7" s="26">
        <f t="shared" si="0"/>
        <v>0</v>
      </c>
      <c r="F7" s="40">
        <f t="shared" si="1"/>
        <v>10</v>
      </c>
      <c r="H7" s="73">
        <v>0</v>
      </c>
      <c r="I7" s="73">
        <v>0</v>
      </c>
      <c r="J7" s="73" t="s">
        <v>291</v>
      </c>
      <c r="K7" s="73">
        <v>3</v>
      </c>
      <c r="L7" s="73" t="s">
        <v>292</v>
      </c>
      <c r="M7" s="73">
        <v>5</v>
      </c>
      <c r="N7" s="73"/>
      <c r="O7" s="73"/>
      <c r="P7" s="73"/>
      <c r="Q7" s="73"/>
    </row>
    <row r="8" spans="1:17" ht="28.5" x14ac:dyDescent="0.45">
      <c r="A8" s="41" t="s">
        <v>87</v>
      </c>
      <c r="B8" s="72">
        <f>'Données brutes'!B106</f>
        <v>0</v>
      </c>
      <c r="C8" s="25">
        <f>IF(B8=0,0,IF(B8=H8,I8,IF(B8=J8,K8,IF(B8=L8,M8,O8))))</f>
        <v>0</v>
      </c>
      <c r="D8" s="22">
        <v>4</v>
      </c>
      <c r="E8" s="95">
        <f t="shared" si="0"/>
        <v>0</v>
      </c>
      <c r="F8" s="42">
        <f t="shared" si="1"/>
        <v>20</v>
      </c>
      <c r="H8" s="73" t="s">
        <v>275</v>
      </c>
      <c r="I8" s="73">
        <v>0</v>
      </c>
      <c r="J8" s="73" t="s">
        <v>290</v>
      </c>
      <c r="K8" s="73">
        <v>1</v>
      </c>
      <c r="L8" s="73" t="s">
        <v>293</v>
      </c>
      <c r="M8" s="73">
        <v>3</v>
      </c>
      <c r="N8" s="73" t="s">
        <v>294</v>
      </c>
      <c r="O8" s="73">
        <v>5</v>
      </c>
      <c r="P8" s="73"/>
      <c r="Q8" s="73"/>
    </row>
    <row r="9" spans="1:17" ht="28.5" x14ac:dyDescent="0.45">
      <c r="A9" s="39" t="s">
        <v>88</v>
      </c>
      <c r="B9" s="85">
        <f>'Données brutes'!B107</f>
        <v>0</v>
      </c>
      <c r="C9" s="24">
        <f>IF(B9=0,0,IF(B9=H9,I9,IF(B9=J9,K9,IF(B9=L9,M9,O9))))</f>
        <v>0</v>
      </c>
      <c r="D9" s="18">
        <v>3</v>
      </c>
      <c r="E9" s="26">
        <f t="shared" si="0"/>
        <v>0</v>
      </c>
      <c r="F9" s="40">
        <f t="shared" si="1"/>
        <v>15</v>
      </c>
      <c r="H9" s="73" t="s">
        <v>275</v>
      </c>
      <c r="I9" s="73">
        <v>0</v>
      </c>
      <c r="J9" s="73" t="s">
        <v>290</v>
      </c>
      <c r="K9" s="73">
        <v>2</v>
      </c>
      <c r="L9" s="73" t="s">
        <v>295</v>
      </c>
      <c r="M9" s="73">
        <v>4</v>
      </c>
      <c r="N9" s="84" t="s">
        <v>303</v>
      </c>
      <c r="O9" s="73">
        <v>5</v>
      </c>
      <c r="P9" s="73"/>
      <c r="Q9" s="73"/>
    </row>
    <row r="10" spans="1:17" ht="28.5" x14ac:dyDescent="0.45">
      <c r="A10" s="41" t="s">
        <v>314</v>
      </c>
      <c r="B10" s="72">
        <f>'Données brutes'!B108</f>
        <v>0</v>
      </c>
      <c r="C10" s="25">
        <f>IF(B10=0,0,IF(B10=H10,I10,IF(B10=J10,K10,M10)))</f>
        <v>0</v>
      </c>
      <c r="D10" s="22">
        <v>3</v>
      </c>
      <c r="E10" s="95">
        <f t="shared" si="0"/>
        <v>0</v>
      </c>
      <c r="F10" s="42">
        <f t="shared" si="1"/>
        <v>15</v>
      </c>
      <c r="H10" s="73" t="s">
        <v>216</v>
      </c>
      <c r="I10" s="73">
        <v>0</v>
      </c>
      <c r="J10" s="73" t="s">
        <v>296</v>
      </c>
      <c r="K10" s="73">
        <v>3</v>
      </c>
      <c r="L10" s="73" t="s">
        <v>297</v>
      </c>
      <c r="M10" s="73">
        <v>5</v>
      </c>
      <c r="N10" s="73"/>
      <c r="O10" s="73"/>
      <c r="P10" s="73"/>
      <c r="Q10" s="73"/>
    </row>
    <row r="11" spans="1:17" ht="28.5" x14ac:dyDescent="0.45">
      <c r="A11" s="39" t="s">
        <v>89</v>
      </c>
      <c r="B11" s="51">
        <f>'Données brutes'!B109</f>
        <v>0</v>
      </c>
      <c r="C11" s="24">
        <f>IF(B11=0,0,IF(B11=H11,I11,IF(B11=J11,K11,M11)))</f>
        <v>0</v>
      </c>
      <c r="D11" s="18">
        <v>4</v>
      </c>
      <c r="E11" s="26">
        <f t="shared" si="0"/>
        <v>0</v>
      </c>
      <c r="F11" s="40">
        <f t="shared" si="1"/>
        <v>20</v>
      </c>
      <c r="H11" s="73" t="s">
        <v>276</v>
      </c>
      <c r="I11" s="73">
        <v>0</v>
      </c>
      <c r="J11" s="73" t="s">
        <v>298</v>
      </c>
      <c r="K11" s="73">
        <v>3</v>
      </c>
      <c r="L11" s="73" t="s">
        <v>299</v>
      </c>
      <c r="M11" s="73">
        <v>5</v>
      </c>
      <c r="N11" s="73"/>
      <c r="O11" s="73"/>
      <c r="P11" s="73"/>
      <c r="Q11" s="73"/>
    </row>
    <row r="12" spans="1:17" ht="28.5" x14ac:dyDescent="0.45">
      <c r="A12" s="41" t="s">
        <v>90</v>
      </c>
      <c r="B12" s="72">
        <f>'Données brutes'!B110</f>
        <v>0</v>
      </c>
      <c r="C12" s="25">
        <f>IF(B12=0,0,IF(B12=H12,I12,IF(B12=J12,K12,IF(B12=L12,M12,0))))</f>
        <v>0</v>
      </c>
      <c r="D12" s="22">
        <v>3</v>
      </c>
      <c r="E12" s="95">
        <f t="shared" si="0"/>
        <v>0</v>
      </c>
      <c r="F12" s="42">
        <f t="shared" si="1"/>
        <v>15</v>
      </c>
      <c r="H12" s="73" t="s">
        <v>276</v>
      </c>
      <c r="I12" s="73">
        <v>0</v>
      </c>
      <c r="J12" s="73" t="s">
        <v>298</v>
      </c>
      <c r="K12" s="73">
        <v>3</v>
      </c>
      <c r="L12" s="73" t="s">
        <v>299</v>
      </c>
      <c r="M12" s="73">
        <v>5</v>
      </c>
      <c r="N12" s="73" t="s">
        <v>277</v>
      </c>
      <c r="O12" s="73"/>
      <c r="P12" s="73"/>
      <c r="Q12" s="73"/>
    </row>
    <row r="13" spans="1:17" ht="28.5" x14ac:dyDescent="0.45">
      <c r="A13" s="39" t="s">
        <v>91</v>
      </c>
      <c r="B13" s="51">
        <f>'Données brutes'!B111</f>
        <v>0</v>
      </c>
      <c r="C13" s="24">
        <f>IF(B13=0,0,IF(B13=H13,I13,IF(B13=J13,K13,M13)))</f>
        <v>0</v>
      </c>
      <c r="D13" s="18">
        <v>2</v>
      </c>
      <c r="E13" s="26">
        <f t="shared" si="0"/>
        <v>0</v>
      </c>
      <c r="F13" s="40">
        <f t="shared" si="1"/>
        <v>10</v>
      </c>
      <c r="H13" s="73" t="s">
        <v>276</v>
      </c>
      <c r="I13" s="73">
        <v>0</v>
      </c>
      <c r="J13" s="73" t="s">
        <v>298</v>
      </c>
      <c r="K13" s="73">
        <v>3</v>
      </c>
      <c r="L13" s="73" t="s">
        <v>299</v>
      </c>
      <c r="M13" s="73">
        <v>5</v>
      </c>
      <c r="N13" s="73"/>
      <c r="O13" s="73"/>
      <c r="P13" s="73"/>
      <c r="Q13" s="73"/>
    </row>
    <row r="14" spans="1:17" ht="28.5" x14ac:dyDescent="0.45">
      <c r="A14" s="41" t="s">
        <v>92</v>
      </c>
      <c r="B14" s="72">
        <f>'Données brutes'!B112</f>
        <v>0</v>
      </c>
      <c r="C14" s="25">
        <f>IF(B14=0,0,IF(B14=H14,I14,IF(B14=J14,K14,M14)))</f>
        <v>0</v>
      </c>
      <c r="D14" s="22">
        <v>3</v>
      </c>
      <c r="E14" s="95">
        <f t="shared" si="0"/>
        <v>0</v>
      </c>
      <c r="F14" s="42">
        <f t="shared" si="1"/>
        <v>15</v>
      </c>
      <c r="H14" s="73" t="s">
        <v>276</v>
      </c>
      <c r="I14" s="73">
        <v>0</v>
      </c>
      <c r="J14" s="73" t="s">
        <v>298</v>
      </c>
      <c r="K14" s="73">
        <v>3</v>
      </c>
      <c r="L14" s="73" t="s">
        <v>299</v>
      </c>
      <c r="M14" s="73">
        <v>5</v>
      </c>
      <c r="N14" s="73"/>
      <c r="O14" s="73"/>
      <c r="P14" s="73"/>
      <c r="Q14" s="73"/>
    </row>
    <row r="15" spans="1:17" ht="28.5" x14ac:dyDescent="0.45">
      <c r="A15" s="39" t="s">
        <v>93</v>
      </c>
      <c r="B15" s="51">
        <f>'Données brutes'!B113</f>
        <v>0</v>
      </c>
      <c r="C15" s="24">
        <f>IF(B15=0,0,IF(B15=H15,I15,IF(B15=J15,K15,M15)))</f>
        <v>0</v>
      </c>
      <c r="D15" s="18">
        <v>4</v>
      </c>
      <c r="E15" s="26">
        <f t="shared" si="0"/>
        <v>0</v>
      </c>
      <c r="F15" s="40">
        <f t="shared" si="1"/>
        <v>20</v>
      </c>
      <c r="H15" s="73" t="s">
        <v>276</v>
      </c>
      <c r="I15" s="73">
        <v>0</v>
      </c>
      <c r="J15" s="73" t="s">
        <v>298</v>
      </c>
      <c r="K15" s="73">
        <v>3</v>
      </c>
      <c r="L15" s="73" t="s">
        <v>299</v>
      </c>
      <c r="M15" s="73">
        <v>5</v>
      </c>
      <c r="N15" s="73"/>
      <c r="O15" s="73"/>
      <c r="P15" s="73"/>
      <c r="Q15" s="73"/>
    </row>
    <row r="16" spans="1:17" ht="23.25" x14ac:dyDescent="0.45">
      <c r="A16" s="41" t="s">
        <v>94</v>
      </c>
      <c r="B16" s="72">
        <f>'Données brutes'!B114</f>
        <v>0</v>
      </c>
      <c r="C16" s="25">
        <f>IF(B16=0,0,IF(B16=H16,I16,IF(B16=J16,K16,M16)))</f>
        <v>0</v>
      </c>
      <c r="D16" s="22">
        <v>3</v>
      </c>
      <c r="E16" s="95">
        <f t="shared" si="0"/>
        <v>0</v>
      </c>
      <c r="F16" s="42">
        <f t="shared" si="1"/>
        <v>15</v>
      </c>
      <c r="H16" s="73" t="s">
        <v>276</v>
      </c>
      <c r="I16" s="73">
        <v>0</v>
      </c>
      <c r="J16" s="73" t="s">
        <v>298</v>
      </c>
      <c r="K16" s="73">
        <v>3</v>
      </c>
      <c r="L16" s="73" t="s">
        <v>299</v>
      </c>
      <c r="M16" s="73">
        <v>5</v>
      </c>
      <c r="N16" s="73"/>
      <c r="O16" s="73"/>
      <c r="P16" s="73"/>
      <c r="Q16" s="73"/>
    </row>
    <row r="17" spans="1:17" ht="28.5" x14ac:dyDescent="0.45">
      <c r="A17" s="39" t="s">
        <v>95</v>
      </c>
      <c r="B17" s="51">
        <f>'Données brutes'!B115</f>
        <v>0</v>
      </c>
      <c r="C17" s="24">
        <f>IF(B17=0,0,IF(B17=H17,I17,IF(B17=J17,K17,M17)))</f>
        <v>0</v>
      </c>
      <c r="D17" s="18">
        <v>3</v>
      </c>
      <c r="E17" s="26">
        <f t="shared" si="0"/>
        <v>0</v>
      </c>
      <c r="F17" s="40">
        <f t="shared" si="1"/>
        <v>15</v>
      </c>
      <c r="H17" s="73" t="s">
        <v>276</v>
      </c>
      <c r="I17" s="73">
        <v>0</v>
      </c>
      <c r="J17" s="73" t="s">
        <v>298</v>
      </c>
      <c r="K17" s="73">
        <v>3</v>
      </c>
      <c r="L17" s="73" t="s">
        <v>299</v>
      </c>
      <c r="M17" s="73">
        <v>5</v>
      </c>
      <c r="N17" s="73"/>
      <c r="O17" s="73"/>
      <c r="P17" s="73"/>
      <c r="Q17" s="73"/>
    </row>
    <row r="18" spans="1:17" ht="28.5" x14ac:dyDescent="0.45">
      <c r="A18" s="41" t="s">
        <v>96</v>
      </c>
      <c r="B18" s="72">
        <f>'Données brutes'!B116</f>
        <v>0</v>
      </c>
      <c r="C18" s="25">
        <f>IF(B18=0,0,IF(B18=H18,I18,K18))</f>
        <v>0</v>
      </c>
      <c r="D18" s="22">
        <v>4</v>
      </c>
      <c r="E18" s="95">
        <f t="shared" si="0"/>
        <v>0</v>
      </c>
      <c r="F18" s="42">
        <f t="shared" si="1"/>
        <v>20</v>
      </c>
      <c r="H18" s="73" t="s">
        <v>216</v>
      </c>
      <c r="I18" s="73">
        <v>0</v>
      </c>
      <c r="J18" s="73" t="s">
        <v>217</v>
      </c>
      <c r="K18" s="73">
        <v>5</v>
      </c>
      <c r="L18" s="73"/>
      <c r="M18" s="73"/>
      <c r="N18" s="73"/>
      <c r="O18" s="73"/>
      <c r="P18" s="73"/>
      <c r="Q18" s="73"/>
    </row>
    <row r="19" spans="1:17" ht="42.75" x14ac:dyDescent="0.45">
      <c r="A19" s="39" t="s">
        <v>97</v>
      </c>
      <c r="B19" s="51">
        <f>'Données brutes'!B117</f>
        <v>0</v>
      </c>
      <c r="C19" s="24">
        <f>IF(B19=0,0,IF(B19=H19,I19,IF(B19=J19,K19,IF(B19=L19,M19,IF(B19=N19,O19,Q19)))))</f>
        <v>0</v>
      </c>
      <c r="D19" s="18">
        <v>4</v>
      </c>
      <c r="E19" s="26">
        <f t="shared" si="0"/>
        <v>0</v>
      </c>
      <c r="F19" s="40">
        <f t="shared" si="1"/>
        <v>20</v>
      </c>
      <c r="H19" s="73" t="s">
        <v>276</v>
      </c>
      <c r="I19" s="73">
        <v>0</v>
      </c>
      <c r="J19" s="73" t="s">
        <v>316</v>
      </c>
      <c r="K19" s="73">
        <v>1</v>
      </c>
      <c r="L19" s="73" t="s">
        <v>301</v>
      </c>
      <c r="M19" s="73">
        <v>2</v>
      </c>
      <c r="N19" s="73" t="s">
        <v>300</v>
      </c>
      <c r="O19" s="73">
        <v>4</v>
      </c>
      <c r="P19" s="73" t="s">
        <v>302</v>
      </c>
      <c r="Q19" s="73">
        <v>5</v>
      </c>
    </row>
    <row r="20" spans="1:17" ht="28.5" x14ac:dyDescent="0.45">
      <c r="A20" s="41" t="s">
        <v>318</v>
      </c>
      <c r="B20" s="72">
        <f>'Données brutes'!B118</f>
        <v>0</v>
      </c>
      <c r="C20" s="25">
        <f>IF(B20=0,0,IF(B20=H20,I20,K20))</f>
        <v>0</v>
      </c>
      <c r="D20" s="22">
        <v>4</v>
      </c>
      <c r="E20" s="95">
        <f t="shared" si="0"/>
        <v>0</v>
      </c>
      <c r="F20" s="42">
        <f t="shared" si="1"/>
        <v>20</v>
      </c>
      <c r="H20" s="73" t="s">
        <v>216</v>
      </c>
      <c r="I20" s="73">
        <v>0</v>
      </c>
      <c r="J20" s="73" t="s">
        <v>217</v>
      </c>
      <c r="K20" s="73">
        <v>5</v>
      </c>
      <c r="L20" s="73"/>
      <c r="M20" s="73"/>
      <c r="N20" s="73"/>
      <c r="O20" s="73"/>
      <c r="P20" s="73"/>
      <c r="Q20" s="73"/>
    </row>
    <row r="21" spans="1:17" ht="28.5" x14ac:dyDescent="0.45">
      <c r="A21" s="39" t="s">
        <v>98</v>
      </c>
      <c r="B21" s="51">
        <f>'Données brutes'!B119</f>
        <v>0</v>
      </c>
      <c r="C21" s="24">
        <f>IF(B21=0,0,IF(B21=H21,I21,IF(B21=J21,K21,M21)))</f>
        <v>0</v>
      </c>
      <c r="D21" s="18">
        <v>4</v>
      </c>
      <c r="E21" s="26">
        <f t="shared" si="0"/>
        <v>0</v>
      </c>
      <c r="F21" s="40">
        <f t="shared" si="1"/>
        <v>20</v>
      </c>
      <c r="H21" s="73" t="s">
        <v>276</v>
      </c>
      <c r="I21" s="73">
        <v>0</v>
      </c>
      <c r="J21" s="73" t="s">
        <v>298</v>
      </c>
      <c r="K21" s="73">
        <v>3</v>
      </c>
      <c r="L21" s="73" t="s">
        <v>299</v>
      </c>
      <c r="M21" s="73">
        <v>5</v>
      </c>
      <c r="N21" s="73"/>
      <c r="O21" s="73"/>
      <c r="P21" s="73"/>
      <c r="Q21" s="73"/>
    </row>
    <row r="22" spans="1:17" ht="23.25" x14ac:dyDescent="0.45">
      <c r="A22" s="41" t="s">
        <v>99</v>
      </c>
      <c r="B22" s="72">
        <f>'Données brutes'!B120</f>
        <v>0</v>
      </c>
      <c r="C22" s="25">
        <f>IF(B22=0,0,IF(B22=H22,I22,IF(B22=J22,K22,M22)))</f>
        <v>0</v>
      </c>
      <c r="D22" s="22">
        <v>4</v>
      </c>
      <c r="E22" s="95">
        <f t="shared" si="0"/>
        <v>0</v>
      </c>
      <c r="F22" s="42">
        <f t="shared" si="1"/>
        <v>20</v>
      </c>
      <c r="H22" s="73" t="s">
        <v>276</v>
      </c>
      <c r="I22" s="73">
        <v>0</v>
      </c>
      <c r="J22" s="73" t="s">
        <v>298</v>
      </c>
      <c r="K22" s="73">
        <v>3</v>
      </c>
      <c r="L22" s="73" t="s">
        <v>299</v>
      </c>
      <c r="M22" s="73">
        <v>5</v>
      </c>
      <c r="N22" s="73"/>
      <c r="O22" s="73"/>
      <c r="P22" s="73"/>
      <c r="Q22" s="73"/>
    </row>
    <row r="25" spans="1:17" ht="14.65" thickBot="1" x14ac:dyDescent="0.5"/>
    <row r="26" spans="1:17" ht="18.399999999999999" thickBot="1" x14ac:dyDescent="0.5">
      <c r="A26" s="12" t="s">
        <v>85</v>
      </c>
      <c r="B26" s="10">
        <f>SUM(E5:E22)</f>
        <v>0</v>
      </c>
      <c r="C26" s="181" t="str">
        <f>"sur "&amp;SUM(F5:F22)&amp;" possibles"</f>
        <v>sur 280 possibles</v>
      </c>
      <c r="D26" s="182"/>
    </row>
    <row r="27" spans="1:17" ht="18.399999999999999" thickBot="1" x14ac:dyDescent="0.5">
      <c r="A27" s="2"/>
      <c r="B27" s="2"/>
      <c r="C27" s="6"/>
    </row>
    <row r="28" spans="1:17" ht="18.399999999999999" thickBot="1" x14ac:dyDescent="0.5">
      <c r="A28" s="14" t="s">
        <v>86</v>
      </c>
      <c r="B28" s="11">
        <f>IF(INT(10*B26/SUM(F5:F22))+1&gt;10,10,INT(10*B26/SUM(F5:F22))+1)</f>
        <v>1</v>
      </c>
      <c r="C28" s="175" t="s">
        <v>24</v>
      </c>
      <c r="D28" s="176"/>
    </row>
  </sheetData>
  <sheetProtection password="CC95" sheet="1" objects="1" scenarios="1"/>
  <mergeCells count="4">
    <mergeCell ref="C26:D26"/>
    <mergeCell ref="C28:D28"/>
    <mergeCell ref="D1:E1"/>
    <mergeCell ref="D2:E2"/>
  </mergeCells>
  <conditionalFormatting sqref="E5">
    <cfRule type="iconSet" priority="19">
      <iconSet>
        <cfvo type="percent" val="0"/>
        <cfvo type="formula" val="0.4*$F$5"/>
        <cfvo type="formula" val="0.8*$F$5"/>
      </iconSet>
    </cfRule>
  </conditionalFormatting>
  <conditionalFormatting sqref="E6">
    <cfRule type="iconSet" priority="18">
      <iconSet>
        <cfvo type="percent" val="0"/>
        <cfvo type="formula" val="0.4*$F$6"/>
        <cfvo type="formula" val="0.8*$F$6"/>
      </iconSet>
    </cfRule>
  </conditionalFormatting>
  <conditionalFormatting sqref="E7">
    <cfRule type="iconSet" priority="17">
      <iconSet>
        <cfvo type="percent" val="0"/>
        <cfvo type="formula" val="0.4*$F$7"/>
        <cfvo type="formula" val="0.8*$F$7"/>
      </iconSet>
    </cfRule>
  </conditionalFormatting>
  <conditionalFormatting sqref="E8">
    <cfRule type="iconSet" priority="16">
      <iconSet>
        <cfvo type="percent" val="0"/>
        <cfvo type="formula" val="0.4*$F$8"/>
        <cfvo type="formula" val="0.8*$F$8"/>
      </iconSet>
    </cfRule>
  </conditionalFormatting>
  <conditionalFormatting sqref="E9">
    <cfRule type="iconSet" priority="15">
      <iconSet>
        <cfvo type="percent" val="0"/>
        <cfvo type="formula" val="0.4*$F$9"/>
        <cfvo type="formula" val="0.8*$F$9"/>
      </iconSet>
    </cfRule>
  </conditionalFormatting>
  <conditionalFormatting sqref="E10">
    <cfRule type="iconSet" priority="14">
      <iconSet>
        <cfvo type="percent" val="0"/>
        <cfvo type="formula" val="0.4*$F$10"/>
        <cfvo type="formula" val="0.8*$F$10"/>
      </iconSet>
    </cfRule>
  </conditionalFormatting>
  <conditionalFormatting sqref="E11">
    <cfRule type="iconSet" priority="13">
      <iconSet>
        <cfvo type="percent" val="0"/>
        <cfvo type="formula" val="0.4*$F$11"/>
        <cfvo type="formula" val="0.8*$F$11"/>
      </iconSet>
    </cfRule>
  </conditionalFormatting>
  <conditionalFormatting sqref="E12">
    <cfRule type="iconSet" priority="12">
      <iconSet>
        <cfvo type="percent" val="0"/>
        <cfvo type="formula" val="0.4*$F$12"/>
        <cfvo type="formula" val="0.8*$F$12"/>
      </iconSet>
    </cfRule>
  </conditionalFormatting>
  <conditionalFormatting sqref="E13">
    <cfRule type="iconSet" priority="11">
      <iconSet>
        <cfvo type="percent" val="0"/>
        <cfvo type="formula" val="0.4*$F$13"/>
        <cfvo type="formula" val="0.8*$F$13"/>
      </iconSet>
    </cfRule>
  </conditionalFormatting>
  <conditionalFormatting sqref="E14">
    <cfRule type="iconSet" priority="10">
      <iconSet>
        <cfvo type="percent" val="0"/>
        <cfvo type="formula" val="0.4*$F$14"/>
        <cfvo type="formula" val="0.8*$F$14"/>
      </iconSet>
    </cfRule>
  </conditionalFormatting>
  <conditionalFormatting sqref="E15">
    <cfRule type="iconSet" priority="9">
      <iconSet>
        <cfvo type="percent" val="0"/>
        <cfvo type="formula" val="0.4*$F$15"/>
        <cfvo type="formula" val="0.8*$F$15"/>
      </iconSet>
    </cfRule>
  </conditionalFormatting>
  <conditionalFormatting sqref="E16">
    <cfRule type="iconSet" priority="8">
      <iconSet>
        <cfvo type="percent" val="0"/>
        <cfvo type="formula" val="0.4*$F$16"/>
        <cfvo type="formula" val="0.8*$F$16"/>
      </iconSet>
    </cfRule>
  </conditionalFormatting>
  <conditionalFormatting sqref="E17">
    <cfRule type="iconSet" priority="7">
      <iconSet>
        <cfvo type="percent" val="0"/>
        <cfvo type="formula" val="0.4*$F$17"/>
        <cfvo type="formula" val="0.8*$F$17"/>
      </iconSet>
    </cfRule>
  </conditionalFormatting>
  <conditionalFormatting sqref="E18">
    <cfRule type="iconSet" priority="6">
      <iconSet>
        <cfvo type="percent" val="0"/>
        <cfvo type="formula" val="0.4*$F$18"/>
        <cfvo type="formula" val="0.8*$F$18"/>
      </iconSet>
    </cfRule>
  </conditionalFormatting>
  <conditionalFormatting sqref="E19">
    <cfRule type="iconSet" priority="5">
      <iconSet>
        <cfvo type="percent" val="0"/>
        <cfvo type="formula" val="0.4*$F$19"/>
        <cfvo type="formula" val="0.8*$F$19"/>
      </iconSet>
    </cfRule>
  </conditionalFormatting>
  <conditionalFormatting sqref="E20">
    <cfRule type="iconSet" priority="4">
      <iconSet>
        <cfvo type="percent" val="0"/>
        <cfvo type="formula" val="0.4*$F$20"/>
        <cfvo type="formula" val="0.8*$F$20"/>
      </iconSet>
    </cfRule>
  </conditionalFormatting>
  <conditionalFormatting sqref="E21">
    <cfRule type="iconSet" priority="3">
      <iconSet>
        <cfvo type="percent" val="0"/>
        <cfvo type="formula" val="0.4*$F$21"/>
        <cfvo type="formula" val="0.8*$F$21"/>
      </iconSet>
    </cfRule>
  </conditionalFormatting>
  <conditionalFormatting sqref="E22">
    <cfRule type="iconSet" priority="2">
      <iconSet>
        <cfvo type="percent" val="0"/>
        <cfvo type="formula" val="0.4*$F$22"/>
        <cfvo type="formula" val="0.8*$F$22"/>
      </iconSet>
    </cfRule>
  </conditionalFormatting>
  <pageMargins left="0.23622047244094488" right="0.23622047244094488" top="0.23622047244094488" bottom="0.23622047244094488" header="0.31496062992125984" footer="0.31496062992125984"/>
  <pageSetup paperSize="9" scale="74" orientation="landscape" r:id="rId1"/>
  <ignoredErrors>
    <ignoredError sqref="C18:C19 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Graphiques</vt:lpstr>
      </vt:variant>
      <vt:variant>
        <vt:i4>1</vt:i4>
      </vt:variant>
    </vt:vector>
  </HeadingPairs>
  <TitlesOfParts>
    <vt:vector size="11" baseType="lpstr">
      <vt:lpstr>Présentation</vt:lpstr>
      <vt:lpstr>Données brutes</vt:lpstr>
      <vt:lpstr>équipements</vt:lpstr>
      <vt:lpstr>infrastructures</vt:lpstr>
      <vt:lpstr>services</vt:lpstr>
      <vt:lpstr>pilotage</vt:lpstr>
      <vt:lpstr>formation</vt:lpstr>
      <vt:lpstr>utilisations</vt:lpstr>
      <vt:lpstr>usages</vt:lpstr>
      <vt:lpstr>Résumé</vt:lpstr>
      <vt:lpstr>RADAR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PAYS</dc:creator>
  <cp:lastModifiedBy>avan-sante</cp:lastModifiedBy>
  <dcterms:created xsi:type="dcterms:W3CDTF">2006-09-16T00:00:00Z</dcterms:created>
  <dcterms:modified xsi:type="dcterms:W3CDTF">2018-09-13T13:12:15Z</dcterms:modified>
</cp:coreProperties>
</file>